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045" activeTab="0"/>
  </bookViews>
  <sheets>
    <sheet name="tab_4" sheetId="1" r:id="rId1"/>
  </sheets>
  <definedNames/>
  <calcPr fullCalcOnLoad="1"/>
</workbook>
</file>

<file path=xl/sharedStrings.xml><?xml version="1.0" encoding="utf-8"?>
<sst xmlns="http://schemas.openxmlformats.org/spreadsheetml/2006/main" count="88" uniqueCount="86">
  <si>
    <t>Tab. 4  Rodinné domácnosti se závislými dětmi podle hlavních charakteristik a okresů ČR k 1. 3. 2001</t>
  </si>
  <si>
    <t>Okresy</t>
  </si>
  <si>
    <t>Rodinné domácnosti celkem</t>
  </si>
  <si>
    <t>v tom</t>
  </si>
  <si>
    <t>úplné rodiny s počtem závislých dětí</t>
  </si>
  <si>
    <t>neúplné rodiny s počtem závislých dětí</t>
  </si>
  <si>
    <t>3+</t>
  </si>
  <si>
    <t>celkem</t>
  </si>
  <si>
    <t>Hl. m. 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</si>
  <si>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</si>
  <si>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</si>
  <si>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</si>
  <si>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</si>
  <si>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</si>
  <si>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</si>
  <si>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</si>
  <si>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</si>
  <si>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</si>
  <si>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</si>
  <si>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</si>
  <si>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</si>
  <si>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</si>
  <si>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</si>
  <si>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</si>
  <si>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</si>
  <si>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</si>
  <si>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</si>
  <si>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</si>
  <si>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</si>
  <si>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</si>
  <si>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</si>
  <si>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</si>
  <si>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</si>
  <si>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</si>
  <si>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</si>
  <si>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Cheb</t>
  </si>
  <si>
    <t>Karlovy Vary</t>
  </si>
  <si>
    <t>Sokolov</t>
  </si>
  <si>
    <t>Děčín</t>
  </si>
  <si>
    <t>Chomutov</t>
  </si>
  <si>
    <t>Litoměřice</t>
  </si>
  <si>
    <t>Louny</t>
  </si>
  <si>
    <t>Most</t>
  </si>
  <si>
    <t>Teplice</t>
  </si>
  <si>
    <t>Ústí nad Labem</t>
  </si>
  <si>
    <t>Česká Lípa</t>
  </si>
  <si>
    <t>Jablonec nad Nisou</t>
  </si>
  <si>
    <t>Liberec</t>
  </si>
  <si>
    <t>Semily</t>
  </si>
  <si>
    <t>Hradec Králové</t>
  </si>
  <si>
    <t>Jičín</t>
  </si>
  <si>
    <t>Náchod</t>
  </si>
  <si>
    <t>Rychnov nad Kněžnou</t>
  </si>
  <si>
    <t>Trutnov</t>
  </si>
  <si>
    <t>Chrudim</t>
  </si>
  <si>
    <t>Pardubice</t>
  </si>
  <si>
    <t>Svitavy</t>
  </si>
  <si>
    <t>Ústí nad Orlicí</t>
  </si>
  <si>
    <t>Havlíčkův Brod</t>
  </si>
  <si>
    <t>Jihlava</t>
  </si>
  <si>
    <t>Pelhřimov</t>
  </si>
  <si>
    <t>Třebíč</t>
  </si>
  <si>
    <t>Žďár nad Sázavou</t>
  </si>
  <si>
    <t>Blansko</t>
  </si>
  <si>
    <t>Brno-město</t>
  </si>
  <si>
    <t>Brno-venkov</t>
  </si>
  <si>
    <t>Břeclav</t>
  </si>
  <si>
    <t>Hodonín</t>
  </si>
  <si>
    <t>Vyškov</t>
  </si>
  <si>
    <t>Znojmo</t>
  </si>
  <si>
    <t>Jeseník</t>
  </si>
  <si>
    <t>Olomouc</t>
  </si>
  <si>
    <t>Prostějov</t>
  </si>
  <si>
    <t>Přerov</t>
  </si>
  <si>
    <t>Šumperk</t>
  </si>
  <si>
    <t>Kroměříž</t>
  </si>
  <si>
    <t>Uherské Hradiště</t>
  </si>
  <si>
    <t>Vsetín</t>
  </si>
  <si>
    <t>Zlín</t>
  </si>
  <si>
    <t>Bruntál</t>
  </si>
  <si>
    <t>Frýdek-Místek</t>
  </si>
  <si>
    <t>Karviná</t>
  </si>
  <si>
    <t>Nový Jičín</t>
  </si>
  <si>
    <t>Opava</t>
  </si>
  <si>
    <t>Ostrava-město</t>
  </si>
  <si>
    <t>ČR celkem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</si>
</sst>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0.0000000"/>
    <numFmt numFmtId="170" formatCode="0.00000000"/>
    <numFmt numFmtId="171" formatCode="0.00000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5" fillId="0" borderId="6" xfId="0" applyFont="1" applyBorder="1" applyAlignment="1">
      <alignment/>
    </xf>
    <xf numFmtId="0" fontId="3" fillId="0" borderId="6" xfId="0" applyFont="1" applyBorder="1" applyAlignment="1">
      <alignment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5" fillId="0" borderId="7" xfId="0" applyFont="1" applyBorder="1" applyAlignment="1">
      <alignment/>
    </xf>
    <xf numFmtId="0" fontId="6" fillId="0" borderId="6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7.375" style="2" customWidth="1"/>
    <col min="2" max="4" width="11.625" style="2" customWidth="1"/>
    <col min="5" max="5" width="11.625" style="3" customWidth="1"/>
    <col min="6" max="10" width="11.625" style="2" customWidth="1"/>
    <col min="11" max="16384" width="9.125" style="2" customWidth="1"/>
  </cols>
  <sheetData>
    <row r="1" ht="12">
      <c r="A1" s="1" t="s">
        <v>0</v>
      </c>
    </row>
    <row r="2" ht="12" thickBot="1"/>
    <row r="3" spans="1:10" ht="11.25" customHeight="1">
      <c r="A3" s="30" t="s">
        <v>1</v>
      </c>
      <c r="B3" s="37" t="s">
        <v>2</v>
      </c>
      <c r="C3" s="35" t="s">
        <v>3</v>
      </c>
      <c r="D3" s="35"/>
      <c r="E3" s="35"/>
      <c r="F3" s="35"/>
      <c r="G3" s="35"/>
      <c r="H3" s="35"/>
      <c r="I3" s="35"/>
      <c r="J3" s="36"/>
    </row>
    <row r="4" spans="1:10" ht="11.25">
      <c r="A4" s="31"/>
      <c r="B4" s="38"/>
      <c r="C4" s="33" t="s">
        <v>4</v>
      </c>
      <c r="D4" s="33"/>
      <c r="E4" s="33"/>
      <c r="F4" s="33"/>
      <c r="G4" s="33" t="s">
        <v>5</v>
      </c>
      <c r="H4" s="33"/>
      <c r="I4" s="33"/>
      <c r="J4" s="34"/>
    </row>
    <row r="5" spans="1:10" ht="12" thickBot="1">
      <c r="A5" s="32"/>
      <c r="B5" s="39"/>
      <c r="C5" s="4">
        <v>1</v>
      </c>
      <c r="D5" s="4">
        <v>2</v>
      </c>
      <c r="E5" s="5" t="s">
        <v>6</v>
      </c>
      <c r="F5" s="4" t="s">
        <v>7</v>
      </c>
      <c r="G5" s="4">
        <v>1</v>
      </c>
      <c r="H5" s="4">
        <v>2</v>
      </c>
      <c r="I5" s="4" t="s">
        <v>6</v>
      </c>
      <c r="J5" s="6" t="s">
        <v>7</v>
      </c>
    </row>
    <row r="6" spans="1:10" ht="10.5" customHeight="1">
      <c r="A6" s="7" t="s">
        <v>8</v>
      </c>
      <c r="B6" s="8">
        <f>F6+J6</f>
        <v>152617</v>
      </c>
      <c r="C6" s="9">
        <f>41995+8569</f>
        <v>50564</v>
      </c>
      <c r="D6" s="9">
        <f>35659+8243</f>
        <v>43902</v>
      </c>
      <c r="E6" s="10">
        <f>4032+1958</f>
        <v>5990</v>
      </c>
      <c r="F6" s="9">
        <f>C6+D6+E6</f>
        <v>100456</v>
      </c>
      <c r="G6" s="9">
        <v>35611</v>
      </c>
      <c r="H6" s="9">
        <v>14619</v>
      </c>
      <c r="I6" s="9">
        <v>1931</v>
      </c>
      <c r="J6" s="11">
        <f>G6+H6+I6</f>
        <v>52161</v>
      </c>
    </row>
    <row r="7" spans="1:10" ht="10.5" customHeight="1">
      <c r="A7" s="12"/>
      <c r="B7" s="13"/>
      <c r="C7" s="14"/>
      <c r="D7" s="14"/>
      <c r="E7" s="15"/>
      <c r="F7" s="14"/>
      <c r="G7" s="14"/>
      <c r="H7" s="14"/>
      <c r="I7" s="14"/>
      <c r="J7" s="16"/>
    </row>
    <row r="8" spans="1:10" ht="10.5" customHeight="1">
      <c r="A8" s="17" t="s">
        <v>9</v>
      </c>
      <c r="B8" s="13">
        <f aca="true" t="shared" si="0" ref="B8:B19">F8+J8</f>
        <v>12604</v>
      </c>
      <c r="C8" s="14">
        <f>3198+755</f>
        <v>3953</v>
      </c>
      <c r="D8" s="14">
        <f>4165+810</f>
        <v>4975</v>
      </c>
      <c r="E8" s="15">
        <f>709+286</f>
        <v>995</v>
      </c>
      <c r="F8" s="14">
        <f aca="true" t="shared" si="1" ref="F8:F19">C8+D8+E8</f>
        <v>9923</v>
      </c>
      <c r="G8" s="14">
        <v>1608</v>
      </c>
      <c r="H8" s="14">
        <v>896</v>
      </c>
      <c r="I8" s="14">
        <v>177</v>
      </c>
      <c r="J8" s="16">
        <f aca="true" t="shared" si="2" ref="J8:J19">G8+H8+I8</f>
        <v>2681</v>
      </c>
    </row>
    <row r="9" spans="1:10" ht="10.5" customHeight="1">
      <c r="A9" s="17" t="s">
        <v>10</v>
      </c>
      <c r="B9" s="13">
        <f t="shared" si="0"/>
        <v>10309</v>
      </c>
      <c r="C9" s="14">
        <f>2903+652</f>
        <v>3555</v>
      </c>
      <c r="D9" s="14">
        <f>3095+693</f>
        <v>3788</v>
      </c>
      <c r="E9" s="15">
        <f>415+170</f>
        <v>585</v>
      </c>
      <c r="F9" s="14">
        <f t="shared" si="1"/>
        <v>7928</v>
      </c>
      <c r="G9" s="14">
        <v>1531</v>
      </c>
      <c r="H9" s="14">
        <v>748</v>
      </c>
      <c r="I9" s="14">
        <v>102</v>
      </c>
      <c r="J9" s="16">
        <f t="shared" si="2"/>
        <v>2381</v>
      </c>
    </row>
    <row r="10" spans="1:10" ht="10.5" customHeight="1">
      <c r="A10" s="17" t="s">
        <v>11</v>
      </c>
      <c r="B10" s="13">
        <f t="shared" si="0"/>
        <v>20524</v>
      </c>
      <c r="C10" s="14">
        <f>6113+1195</f>
        <v>7308</v>
      </c>
      <c r="D10" s="14">
        <f>5551+1179</f>
        <v>6730</v>
      </c>
      <c r="E10" s="15">
        <f>741+332</f>
        <v>1073</v>
      </c>
      <c r="F10" s="14">
        <f t="shared" si="1"/>
        <v>15111</v>
      </c>
      <c r="G10" s="14">
        <v>3617</v>
      </c>
      <c r="H10" s="14">
        <v>1498</v>
      </c>
      <c r="I10" s="14">
        <v>298</v>
      </c>
      <c r="J10" s="16">
        <f t="shared" si="2"/>
        <v>5413</v>
      </c>
    </row>
    <row r="11" spans="1:10" ht="10.5" customHeight="1">
      <c r="A11" s="17" t="s">
        <v>12</v>
      </c>
      <c r="B11" s="13">
        <f t="shared" si="0"/>
        <v>12802</v>
      </c>
      <c r="C11" s="14">
        <f>3644+795</f>
        <v>4439</v>
      </c>
      <c r="D11" s="14">
        <f>3982+769</f>
        <v>4751</v>
      </c>
      <c r="E11" s="15">
        <f>550+179</f>
        <v>729</v>
      </c>
      <c r="F11" s="14">
        <f t="shared" si="1"/>
        <v>9919</v>
      </c>
      <c r="G11" s="14">
        <v>1794</v>
      </c>
      <c r="H11" s="14">
        <v>927</v>
      </c>
      <c r="I11" s="14">
        <v>162</v>
      </c>
      <c r="J11" s="16">
        <f t="shared" si="2"/>
        <v>2883</v>
      </c>
    </row>
    <row r="12" spans="1:10" ht="10.5" customHeight="1">
      <c r="A12" s="17" t="s">
        <v>13</v>
      </c>
      <c r="B12" s="13">
        <f t="shared" si="0"/>
        <v>9951</v>
      </c>
      <c r="C12" s="14">
        <f>2379+628</f>
        <v>3007</v>
      </c>
      <c r="D12" s="14">
        <f>3431+660</f>
        <v>4091</v>
      </c>
      <c r="E12" s="15">
        <f>539+200</f>
        <v>739</v>
      </c>
      <c r="F12" s="14">
        <f t="shared" si="1"/>
        <v>7837</v>
      </c>
      <c r="G12" s="14">
        <v>1294</v>
      </c>
      <c r="H12" s="14">
        <v>687</v>
      </c>
      <c r="I12" s="14">
        <v>133</v>
      </c>
      <c r="J12" s="16">
        <f t="shared" si="2"/>
        <v>2114</v>
      </c>
    </row>
    <row r="13" spans="1:10" ht="10.5" customHeight="1">
      <c r="A13" s="17" t="s">
        <v>14</v>
      </c>
      <c r="B13" s="13">
        <f t="shared" si="0"/>
        <v>13063</v>
      </c>
      <c r="C13" s="14">
        <f>3648+720</f>
        <v>4368</v>
      </c>
      <c r="D13" s="14">
        <f>3928+735</f>
        <v>4663</v>
      </c>
      <c r="E13" s="15">
        <f>548+203</f>
        <v>751</v>
      </c>
      <c r="F13" s="14">
        <f t="shared" si="1"/>
        <v>9782</v>
      </c>
      <c r="G13" s="14">
        <v>2039</v>
      </c>
      <c r="H13" s="14">
        <v>1018</v>
      </c>
      <c r="I13" s="14">
        <v>224</v>
      </c>
      <c r="J13" s="16">
        <f t="shared" si="2"/>
        <v>3281</v>
      </c>
    </row>
    <row r="14" spans="1:10" ht="10.5" customHeight="1">
      <c r="A14" s="17" t="s">
        <v>15</v>
      </c>
      <c r="B14" s="13">
        <f t="shared" si="0"/>
        <v>15783</v>
      </c>
      <c r="C14" s="14">
        <f>4409+943</f>
        <v>5352</v>
      </c>
      <c r="D14" s="14">
        <f>4978+879</f>
        <v>5857</v>
      </c>
      <c r="E14" s="15">
        <f>752+244</f>
        <v>996</v>
      </c>
      <c r="F14" s="14">
        <f t="shared" si="1"/>
        <v>12205</v>
      </c>
      <c r="G14" s="14">
        <v>2297</v>
      </c>
      <c r="H14" s="14">
        <v>1092</v>
      </c>
      <c r="I14" s="14">
        <v>189</v>
      </c>
      <c r="J14" s="16">
        <f t="shared" si="2"/>
        <v>3578</v>
      </c>
    </row>
    <row r="15" spans="1:10" ht="10.5" customHeight="1">
      <c r="A15" s="17" t="s">
        <v>16</v>
      </c>
      <c r="B15" s="13">
        <f t="shared" si="0"/>
        <v>11410</v>
      </c>
      <c r="C15" s="14">
        <f>3251+707</f>
        <v>3958</v>
      </c>
      <c r="D15" s="14">
        <f>3593+664</f>
        <v>4257</v>
      </c>
      <c r="E15" s="15">
        <f>493+147</f>
        <v>640</v>
      </c>
      <c r="F15" s="14">
        <f t="shared" si="1"/>
        <v>8855</v>
      </c>
      <c r="G15" s="14">
        <v>1597</v>
      </c>
      <c r="H15" s="14">
        <v>808</v>
      </c>
      <c r="I15" s="14">
        <v>150</v>
      </c>
      <c r="J15" s="16">
        <f t="shared" si="2"/>
        <v>2555</v>
      </c>
    </row>
    <row r="16" spans="1:10" ht="10.5" customHeight="1">
      <c r="A16" s="17" t="s">
        <v>17</v>
      </c>
      <c r="B16" s="13">
        <f t="shared" si="0"/>
        <v>13151</v>
      </c>
      <c r="C16" s="14">
        <f>3365+819</f>
        <v>4184</v>
      </c>
      <c r="D16" s="14">
        <f>3721+942</f>
        <v>4663</v>
      </c>
      <c r="E16" s="15">
        <f>484+251</f>
        <v>735</v>
      </c>
      <c r="F16" s="14">
        <f t="shared" si="1"/>
        <v>9582</v>
      </c>
      <c r="G16" s="14">
        <v>2197</v>
      </c>
      <c r="H16" s="14">
        <v>1194</v>
      </c>
      <c r="I16" s="14">
        <v>178</v>
      </c>
      <c r="J16" s="16">
        <f t="shared" si="2"/>
        <v>3569</v>
      </c>
    </row>
    <row r="17" spans="1:10" ht="10.5" customHeight="1">
      <c r="A17" s="17" t="s">
        <v>18</v>
      </c>
      <c r="B17" s="13">
        <f t="shared" si="0"/>
        <v>11551</v>
      </c>
      <c r="C17" s="14">
        <f>3079+686</f>
        <v>3765</v>
      </c>
      <c r="D17" s="14">
        <f>3107+768</f>
        <v>3875</v>
      </c>
      <c r="E17" s="15">
        <f>474+224</f>
        <v>698</v>
      </c>
      <c r="F17" s="14">
        <f t="shared" si="1"/>
        <v>8338</v>
      </c>
      <c r="G17" s="14">
        <v>1914</v>
      </c>
      <c r="H17" s="14">
        <v>1124</v>
      </c>
      <c r="I17" s="14">
        <v>175</v>
      </c>
      <c r="J17" s="16">
        <f t="shared" si="2"/>
        <v>3213</v>
      </c>
    </row>
    <row r="18" spans="1:10" ht="10.5" customHeight="1">
      <c r="A18" s="17" t="s">
        <v>19</v>
      </c>
      <c r="B18" s="13">
        <f t="shared" si="0"/>
        <v>14942</v>
      </c>
      <c r="C18" s="14">
        <f>3834+946</f>
        <v>4780</v>
      </c>
      <c r="D18" s="14">
        <f>4669+1038</f>
        <v>5707</v>
      </c>
      <c r="E18" s="15">
        <f>786+317</f>
        <v>1103</v>
      </c>
      <c r="F18" s="14">
        <f t="shared" si="1"/>
        <v>11590</v>
      </c>
      <c r="G18" s="14">
        <v>2090</v>
      </c>
      <c r="H18" s="14">
        <v>1071</v>
      </c>
      <c r="I18" s="14">
        <v>191</v>
      </c>
      <c r="J18" s="16">
        <f t="shared" si="2"/>
        <v>3352</v>
      </c>
    </row>
    <row r="19" spans="1:10" ht="10.5" customHeight="1">
      <c r="A19" s="17" t="s">
        <v>20</v>
      </c>
      <c r="B19" s="13">
        <f t="shared" si="0"/>
        <v>7470</v>
      </c>
      <c r="C19" s="14">
        <f>2104+498</f>
        <v>2602</v>
      </c>
      <c r="D19" s="14">
        <f>2379+428</f>
        <v>2807</v>
      </c>
      <c r="E19" s="15">
        <f>374+121</f>
        <v>495</v>
      </c>
      <c r="F19" s="14">
        <f t="shared" si="1"/>
        <v>5904</v>
      </c>
      <c r="G19" s="14">
        <v>1000</v>
      </c>
      <c r="H19" s="14">
        <v>466</v>
      </c>
      <c r="I19" s="14">
        <v>100</v>
      </c>
      <c r="J19" s="16">
        <f t="shared" si="2"/>
        <v>1566</v>
      </c>
    </row>
    <row r="20" spans="1:10" s="22" customFormat="1" ht="10.5" customHeight="1">
      <c r="A20" s="18"/>
      <c r="B20" s="19"/>
      <c r="C20" s="19"/>
      <c r="D20" s="19"/>
      <c r="E20" s="20"/>
      <c r="F20" s="19"/>
      <c r="G20" s="19"/>
      <c r="H20" s="19"/>
      <c r="I20" s="19"/>
      <c r="J20" s="21"/>
    </row>
    <row r="21" spans="1:10" ht="10.5" customHeight="1">
      <c r="A21" s="17" t="s">
        <v>21</v>
      </c>
      <c r="B21" s="13">
        <f aca="true" t="shared" si="3" ref="B21:B27">F21+J21</f>
        <v>26056</v>
      </c>
      <c r="C21" s="14">
        <f>7232+1634</f>
        <v>8866</v>
      </c>
      <c r="D21" s="14">
        <f>8143+1615</f>
        <v>9758</v>
      </c>
      <c r="E21" s="15">
        <f>1050+419</f>
        <v>1469</v>
      </c>
      <c r="F21" s="14">
        <f aca="true" t="shared" si="4" ref="F21:F27">C21+D21+E21</f>
        <v>20093</v>
      </c>
      <c r="G21" s="14">
        <v>3844</v>
      </c>
      <c r="H21" s="14">
        <v>1852</v>
      </c>
      <c r="I21" s="14">
        <v>267</v>
      </c>
      <c r="J21" s="16">
        <f aca="true" t="shared" si="5" ref="J21:J27">G21+H21+I21</f>
        <v>5963</v>
      </c>
    </row>
    <row r="22" spans="1:10" ht="10.5" customHeight="1">
      <c r="A22" s="17" t="s">
        <v>22</v>
      </c>
      <c r="B22" s="13">
        <f t="shared" si="3"/>
        <v>8814</v>
      </c>
      <c r="C22" s="14">
        <f>2449+457</f>
        <v>2906</v>
      </c>
      <c r="D22" s="14">
        <f>2707+470</f>
        <v>3177</v>
      </c>
      <c r="E22" s="15">
        <f>562+171</f>
        <v>733</v>
      </c>
      <c r="F22" s="14">
        <f t="shared" si="4"/>
        <v>6816</v>
      </c>
      <c r="G22" s="14">
        <v>1254</v>
      </c>
      <c r="H22" s="14">
        <v>590</v>
      </c>
      <c r="I22" s="14">
        <v>154</v>
      </c>
      <c r="J22" s="16">
        <f t="shared" si="5"/>
        <v>1998</v>
      </c>
    </row>
    <row r="23" spans="1:10" ht="10.5" customHeight="1">
      <c r="A23" s="17" t="s">
        <v>23</v>
      </c>
      <c r="B23" s="13">
        <f t="shared" si="3"/>
        <v>13207</v>
      </c>
      <c r="C23" s="14">
        <f>3338+869</f>
        <v>4207</v>
      </c>
      <c r="D23" s="14">
        <f>4232+947</f>
        <v>5179</v>
      </c>
      <c r="E23" s="15">
        <f>816+352</f>
        <v>1168</v>
      </c>
      <c r="F23" s="14">
        <f t="shared" si="4"/>
        <v>10554</v>
      </c>
      <c r="G23" s="14">
        <v>1654</v>
      </c>
      <c r="H23" s="14">
        <v>818</v>
      </c>
      <c r="I23" s="14">
        <v>181</v>
      </c>
      <c r="J23" s="16">
        <f t="shared" si="5"/>
        <v>2653</v>
      </c>
    </row>
    <row r="24" spans="1:10" ht="10.5" customHeight="1">
      <c r="A24" s="17" t="s">
        <v>24</v>
      </c>
      <c r="B24" s="13">
        <f t="shared" si="3"/>
        <v>9616</v>
      </c>
      <c r="C24" s="14">
        <f>2515+486</f>
        <v>3001</v>
      </c>
      <c r="D24" s="14">
        <f>3184+580</f>
        <v>3764</v>
      </c>
      <c r="E24" s="15">
        <f>532+173</f>
        <v>705</v>
      </c>
      <c r="F24" s="14">
        <f t="shared" si="4"/>
        <v>7470</v>
      </c>
      <c r="G24" s="14">
        <v>1387</v>
      </c>
      <c r="H24" s="14">
        <v>655</v>
      </c>
      <c r="I24" s="14">
        <v>104</v>
      </c>
      <c r="J24" s="16">
        <f t="shared" si="5"/>
        <v>2146</v>
      </c>
    </row>
    <row r="25" spans="1:10" ht="10.5" customHeight="1">
      <c r="A25" s="17" t="s">
        <v>25</v>
      </c>
      <c r="B25" s="13">
        <f t="shared" si="3"/>
        <v>7499</v>
      </c>
      <c r="C25" s="14">
        <f>1936+496</f>
        <v>2432</v>
      </c>
      <c r="D25" s="14">
        <f>2378+490</f>
        <v>2868</v>
      </c>
      <c r="E25" s="15">
        <f>446+168</f>
        <v>614</v>
      </c>
      <c r="F25" s="14">
        <f t="shared" si="4"/>
        <v>5914</v>
      </c>
      <c r="G25" s="14">
        <v>943</v>
      </c>
      <c r="H25" s="14">
        <v>539</v>
      </c>
      <c r="I25" s="14">
        <v>103</v>
      </c>
      <c r="J25" s="16">
        <f t="shared" si="5"/>
        <v>1585</v>
      </c>
    </row>
    <row r="26" spans="1:10" ht="10.5" customHeight="1">
      <c r="A26" s="17" t="s">
        <v>26</v>
      </c>
      <c r="B26" s="13">
        <f t="shared" si="3"/>
        <v>9604</v>
      </c>
      <c r="C26" s="14">
        <f>2487+599</f>
        <v>3086</v>
      </c>
      <c r="D26" s="14">
        <f>3217+615</f>
        <v>3832</v>
      </c>
      <c r="E26" s="15">
        <f>523+164</f>
        <v>687</v>
      </c>
      <c r="F26" s="14">
        <f t="shared" si="4"/>
        <v>7605</v>
      </c>
      <c r="G26" s="14">
        <v>1196</v>
      </c>
      <c r="H26" s="14">
        <v>672</v>
      </c>
      <c r="I26" s="14">
        <v>131</v>
      </c>
      <c r="J26" s="16">
        <f t="shared" si="5"/>
        <v>1999</v>
      </c>
    </row>
    <row r="27" spans="1:10" ht="10.5" customHeight="1">
      <c r="A27" s="17" t="s">
        <v>27</v>
      </c>
      <c r="B27" s="13">
        <f t="shared" si="3"/>
        <v>14284</v>
      </c>
      <c r="C27" s="14">
        <f>3673+861</f>
        <v>4534</v>
      </c>
      <c r="D27" s="14">
        <f>4908+997</f>
        <v>5905</v>
      </c>
      <c r="E27" s="15">
        <f>707+278</f>
        <v>985</v>
      </c>
      <c r="F27" s="14">
        <f t="shared" si="4"/>
        <v>11424</v>
      </c>
      <c r="G27" s="14">
        <v>1721</v>
      </c>
      <c r="H27" s="14">
        <v>960</v>
      </c>
      <c r="I27" s="14">
        <v>179</v>
      </c>
      <c r="J27" s="16">
        <f t="shared" si="5"/>
        <v>2860</v>
      </c>
    </row>
    <row r="28" spans="1:10" s="22" customFormat="1" ht="10.5" customHeight="1">
      <c r="A28" s="18"/>
      <c r="B28" s="19"/>
      <c r="C28" s="19"/>
      <c r="D28" s="19"/>
      <c r="E28" s="20"/>
      <c r="F28" s="19"/>
      <c r="G28" s="19"/>
      <c r="H28" s="19"/>
      <c r="I28" s="19"/>
      <c r="J28" s="21"/>
    </row>
    <row r="29" spans="1:10" ht="10.5" customHeight="1">
      <c r="A29" s="17" t="s">
        <v>28</v>
      </c>
      <c r="B29" s="13">
        <f aca="true" t="shared" si="6" ref="B29:B35">F29+J29</f>
        <v>8039</v>
      </c>
      <c r="C29" s="14">
        <f>2257+471</f>
        <v>2728</v>
      </c>
      <c r="D29" s="14">
        <f>2730+523</f>
        <v>3253</v>
      </c>
      <c r="E29" s="15">
        <f>406+149</f>
        <v>555</v>
      </c>
      <c r="F29" s="14">
        <f aca="true" t="shared" si="7" ref="F29:F35">C29+D29+E29</f>
        <v>6536</v>
      </c>
      <c r="G29" s="14">
        <v>948</v>
      </c>
      <c r="H29" s="14">
        <v>474</v>
      </c>
      <c r="I29" s="14">
        <v>81</v>
      </c>
      <c r="J29" s="16">
        <f aca="true" t="shared" si="8" ref="J29:J35">G29+H29+I29</f>
        <v>1503</v>
      </c>
    </row>
    <row r="30" spans="1:10" ht="10.5" customHeight="1">
      <c r="A30" s="17" t="s">
        <v>29</v>
      </c>
      <c r="B30" s="13">
        <f t="shared" si="6"/>
        <v>11938</v>
      </c>
      <c r="C30" s="14">
        <f>3100+836</f>
        <v>3936</v>
      </c>
      <c r="D30" s="14">
        <f>3872+805</f>
        <v>4677</v>
      </c>
      <c r="E30" s="15">
        <f>593+247</f>
        <v>840</v>
      </c>
      <c r="F30" s="14">
        <f t="shared" si="7"/>
        <v>9453</v>
      </c>
      <c r="G30" s="14">
        <v>1533</v>
      </c>
      <c r="H30" s="14">
        <v>809</v>
      </c>
      <c r="I30" s="14">
        <v>143</v>
      </c>
      <c r="J30" s="16">
        <f t="shared" si="8"/>
        <v>2485</v>
      </c>
    </row>
    <row r="31" spans="1:10" ht="10.5" customHeight="1">
      <c r="A31" s="17" t="s">
        <v>30</v>
      </c>
      <c r="B31" s="13">
        <f t="shared" si="6"/>
        <v>22274</v>
      </c>
      <c r="C31" s="14">
        <f>6455+1243</f>
        <v>7698</v>
      </c>
      <c r="D31" s="14">
        <f>5882+1063</f>
        <v>6945</v>
      </c>
      <c r="E31" s="15">
        <f>650+262</f>
        <v>912</v>
      </c>
      <c r="F31" s="14">
        <f t="shared" si="7"/>
        <v>15555</v>
      </c>
      <c r="G31" s="14">
        <v>4570</v>
      </c>
      <c r="H31" s="14">
        <v>1896</v>
      </c>
      <c r="I31" s="14">
        <v>253</v>
      </c>
      <c r="J31" s="16">
        <f t="shared" si="8"/>
        <v>6719</v>
      </c>
    </row>
    <row r="32" spans="1:10" ht="10.5" customHeight="1">
      <c r="A32" s="17" t="s">
        <v>31</v>
      </c>
      <c r="B32" s="13">
        <f t="shared" si="6"/>
        <v>9077</v>
      </c>
      <c r="C32" s="14">
        <f>2484+566</f>
        <v>3050</v>
      </c>
      <c r="D32" s="14">
        <f>3079+612</f>
        <v>3691</v>
      </c>
      <c r="E32" s="15">
        <f>417+151</f>
        <v>568</v>
      </c>
      <c r="F32" s="14">
        <f t="shared" si="7"/>
        <v>7309</v>
      </c>
      <c r="G32" s="14">
        <v>1112</v>
      </c>
      <c r="H32" s="14">
        <v>568</v>
      </c>
      <c r="I32" s="14">
        <v>88</v>
      </c>
      <c r="J32" s="16">
        <f t="shared" si="8"/>
        <v>1768</v>
      </c>
    </row>
    <row r="33" spans="1:10" ht="10.5" customHeight="1">
      <c r="A33" s="17" t="s">
        <v>32</v>
      </c>
      <c r="B33" s="13">
        <f t="shared" si="6"/>
        <v>10157</v>
      </c>
      <c r="C33" s="14">
        <f>2938+600</f>
        <v>3538</v>
      </c>
      <c r="D33" s="14">
        <f>3326+664</f>
        <v>3990</v>
      </c>
      <c r="E33" s="15">
        <f>484+174</f>
        <v>658</v>
      </c>
      <c r="F33" s="14">
        <f t="shared" si="7"/>
        <v>8186</v>
      </c>
      <c r="G33" s="14">
        <v>1254</v>
      </c>
      <c r="H33" s="14">
        <v>591</v>
      </c>
      <c r="I33" s="14">
        <v>126</v>
      </c>
      <c r="J33" s="16">
        <f t="shared" si="8"/>
        <v>1971</v>
      </c>
    </row>
    <row r="34" spans="1:10" ht="10.5" customHeight="1">
      <c r="A34" s="17" t="s">
        <v>33</v>
      </c>
      <c r="B34" s="13">
        <f t="shared" si="6"/>
        <v>6186</v>
      </c>
      <c r="C34" s="14">
        <f>1817+370</f>
        <v>2187</v>
      </c>
      <c r="D34" s="14">
        <f>2029+339</f>
        <v>2368</v>
      </c>
      <c r="E34" s="15">
        <f>278+101</f>
        <v>379</v>
      </c>
      <c r="F34" s="14">
        <f t="shared" si="7"/>
        <v>4934</v>
      </c>
      <c r="G34" s="14">
        <v>789</v>
      </c>
      <c r="H34" s="14">
        <v>383</v>
      </c>
      <c r="I34" s="14">
        <v>80</v>
      </c>
      <c r="J34" s="16">
        <f t="shared" si="8"/>
        <v>1252</v>
      </c>
    </row>
    <row r="35" spans="1:10" ht="10.5" customHeight="1">
      <c r="A35" s="17" t="s">
        <v>34</v>
      </c>
      <c r="B35" s="13">
        <f t="shared" si="6"/>
        <v>7629</v>
      </c>
      <c r="C35" s="14">
        <f>2229+371</f>
        <v>2600</v>
      </c>
      <c r="D35" s="14">
        <f>2280+354</f>
        <v>2634</v>
      </c>
      <c r="E35" s="15">
        <f>484+135</f>
        <v>619</v>
      </c>
      <c r="F35" s="14">
        <f t="shared" si="7"/>
        <v>5853</v>
      </c>
      <c r="G35" s="14">
        <v>1150</v>
      </c>
      <c r="H35" s="14">
        <v>502</v>
      </c>
      <c r="I35" s="14">
        <v>124</v>
      </c>
      <c r="J35" s="16">
        <f t="shared" si="8"/>
        <v>1776</v>
      </c>
    </row>
    <row r="36" spans="1:10" ht="10.5" customHeight="1">
      <c r="A36" s="17"/>
      <c r="B36" s="13"/>
      <c r="C36" s="14"/>
      <c r="D36" s="14"/>
      <c r="E36" s="15"/>
      <c r="F36" s="14"/>
      <c r="G36" s="14"/>
      <c r="H36" s="14"/>
      <c r="I36" s="14"/>
      <c r="J36" s="16"/>
    </row>
    <row r="37" spans="1:10" ht="10.5" customHeight="1">
      <c r="A37" s="17" t="s">
        <v>35</v>
      </c>
      <c r="B37" s="13">
        <f>F37+J37</f>
        <v>12554</v>
      </c>
      <c r="C37" s="14">
        <f>3635+767</f>
        <v>4402</v>
      </c>
      <c r="D37" s="14">
        <f>3041+698</f>
        <v>3739</v>
      </c>
      <c r="E37" s="15">
        <f>517+243</f>
        <v>760</v>
      </c>
      <c r="F37" s="14">
        <f>C37+D37+E37</f>
        <v>8901</v>
      </c>
      <c r="G37" s="14">
        <v>2526</v>
      </c>
      <c r="H37" s="14">
        <v>929</v>
      </c>
      <c r="I37" s="14">
        <v>198</v>
      </c>
      <c r="J37" s="16">
        <f>G37+H37+I37</f>
        <v>3653</v>
      </c>
    </row>
    <row r="38" spans="1:10" ht="10.5" customHeight="1">
      <c r="A38" s="17" t="s">
        <v>36</v>
      </c>
      <c r="B38" s="13">
        <f>F38+J38</f>
        <v>16803</v>
      </c>
      <c r="C38" s="14">
        <f>4547+949</f>
        <v>5496</v>
      </c>
      <c r="D38" s="14">
        <f>4035+842</f>
        <v>4877</v>
      </c>
      <c r="E38" s="15">
        <f>683+332</f>
        <v>1015</v>
      </c>
      <c r="F38" s="14">
        <f>C38+D38+E38</f>
        <v>11388</v>
      </c>
      <c r="G38" s="14">
        <v>3607</v>
      </c>
      <c r="H38" s="14">
        <v>1508</v>
      </c>
      <c r="I38" s="14">
        <v>300</v>
      </c>
      <c r="J38" s="16">
        <f>G38+H38+I38</f>
        <v>5415</v>
      </c>
    </row>
    <row r="39" spans="1:10" ht="10.5" customHeight="1">
      <c r="A39" s="17" t="s">
        <v>37</v>
      </c>
      <c r="B39" s="13">
        <f>F39+J39</f>
        <v>14008</v>
      </c>
      <c r="C39" s="14">
        <f>3744+770</f>
        <v>4514</v>
      </c>
      <c r="D39" s="14">
        <f>3416+816</f>
        <v>4232</v>
      </c>
      <c r="E39" s="15">
        <f>660+390</f>
        <v>1050</v>
      </c>
      <c r="F39" s="14">
        <f>C39+D39+E39</f>
        <v>9796</v>
      </c>
      <c r="G39" s="14">
        <v>2698</v>
      </c>
      <c r="H39" s="14">
        <v>1229</v>
      </c>
      <c r="I39" s="14">
        <v>285</v>
      </c>
      <c r="J39" s="16">
        <f>G39+H39+I39</f>
        <v>4212</v>
      </c>
    </row>
    <row r="40" spans="1:10" s="22" customFormat="1" ht="8.25" customHeight="1">
      <c r="A40" s="18"/>
      <c r="B40" s="19"/>
      <c r="C40" s="19"/>
      <c r="D40" s="19"/>
      <c r="E40" s="20"/>
      <c r="F40" s="19"/>
      <c r="G40" s="19"/>
      <c r="H40" s="19"/>
      <c r="I40" s="19"/>
      <c r="J40" s="21"/>
    </row>
    <row r="41" spans="1:10" ht="10.5" customHeight="1">
      <c r="A41" s="17" t="s">
        <v>38</v>
      </c>
      <c r="B41" s="13">
        <f aca="true" t="shared" si="9" ref="B41:B47">F41+J41</f>
        <v>18791</v>
      </c>
      <c r="C41" s="14">
        <f>5305+1140</f>
        <v>6445</v>
      </c>
      <c r="D41" s="14">
        <f>4963+1051</f>
        <v>6014</v>
      </c>
      <c r="E41" s="15">
        <f>987+444</f>
        <v>1431</v>
      </c>
      <c r="F41" s="14">
        <f aca="true" t="shared" si="10" ref="F41:F47">C41+D41+E41</f>
        <v>13890</v>
      </c>
      <c r="G41" s="14">
        <v>3201</v>
      </c>
      <c r="H41" s="14">
        <v>1383</v>
      </c>
      <c r="I41" s="14">
        <v>317</v>
      </c>
      <c r="J41" s="16">
        <f aca="true" t="shared" si="11" ref="J41:J47">G41+H41+I41</f>
        <v>4901</v>
      </c>
    </row>
    <row r="42" spans="1:10" ht="10.5" customHeight="1">
      <c r="A42" s="17" t="s">
        <v>39</v>
      </c>
      <c r="B42" s="13">
        <f t="shared" si="9"/>
        <v>18638</v>
      </c>
      <c r="C42" s="14">
        <f>5407+965</f>
        <v>6372</v>
      </c>
      <c r="D42" s="14">
        <f>4818+868</f>
        <v>5686</v>
      </c>
      <c r="E42" s="15">
        <f>932+343</f>
        <v>1275</v>
      </c>
      <c r="F42" s="14">
        <f t="shared" si="10"/>
        <v>13333</v>
      </c>
      <c r="G42" s="14">
        <v>3441</v>
      </c>
      <c r="H42" s="14">
        <v>1474</v>
      </c>
      <c r="I42" s="14">
        <v>390</v>
      </c>
      <c r="J42" s="16">
        <f t="shared" si="11"/>
        <v>5305</v>
      </c>
    </row>
    <row r="43" spans="1:10" ht="10.5" customHeight="1">
      <c r="A43" s="17" t="s">
        <v>40</v>
      </c>
      <c r="B43" s="13">
        <f t="shared" si="9"/>
        <v>15735</v>
      </c>
      <c r="C43" s="14">
        <f>4234+1019</f>
        <v>5253</v>
      </c>
      <c r="D43" s="14">
        <f>4699+924</f>
        <v>5623</v>
      </c>
      <c r="E43" s="15">
        <f>754+293</f>
        <v>1047</v>
      </c>
      <c r="F43" s="14">
        <f t="shared" si="10"/>
        <v>11923</v>
      </c>
      <c r="G43" s="14">
        <v>2469</v>
      </c>
      <c r="H43" s="14">
        <v>1118</v>
      </c>
      <c r="I43" s="14">
        <v>225</v>
      </c>
      <c r="J43" s="16">
        <f t="shared" si="11"/>
        <v>3812</v>
      </c>
    </row>
    <row r="44" spans="1:10" ht="10.5" customHeight="1">
      <c r="A44" s="17" t="s">
        <v>41</v>
      </c>
      <c r="B44" s="13">
        <f t="shared" si="9"/>
        <v>12325</v>
      </c>
      <c r="C44" s="14">
        <f>3504+660</f>
        <v>4164</v>
      </c>
      <c r="D44" s="14">
        <f>3621+610</f>
        <v>4231</v>
      </c>
      <c r="E44" s="15">
        <f>666+252</f>
        <v>918</v>
      </c>
      <c r="F44" s="14">
        <f t="shared" si="10"/>
        <v>9313</v>
      </c>
      <c r="G44" s="14">
        <v>1901</v>
      </c>
      <c r="H44" s="14">
        <v>909</v>
      </c>
      <c r="I44" s="14">
        <v>202</v>
      </c>
      <c r="J44" s="16">
        <f t="shared" si="11"/>
        <v>3012</v>
      </c>
    </row>
    <row r="45" spans="1:10" ht="10.5" customHeight="1">
      <c r="A45" s="17" t="s">
        <v>42</v>
      </c>
      <c r="B45" s="13">
        <f t="shared" si="9"/>
        <v>17107</v>
      </c>
      <c r="C45" s="14">
        <f>4915+813</f>
        <v>5728</v>
      </c>
      <c r="D45" s="14">
        <f>4202+785</f>
        <v>4987</v>
      </c>
      <c r="E45" s="15">
        <f>718+276</f>
        <v>994</v>
      </c>
      <c r="F45" s="14">
        <f t="shared" si="10"/>
        <v>11709</v>
      </c>
      <c r="G45" s="14">
        <v>3406</v>
      </c>
      <c r="H45" s="14">
        <v>1628</v>
      </c>
      <c r="I45" s="14">
        <v>364</v>
      </c>
      <c r="J45" s="16">
        <f t="shared" si="11"/>
        <v>5398</v>
      </c>
    </row>
    <row r="46" spans="1:10" ht="10.5" customHeight="1">
      <c r="A46" s="17" t="s">
        <v>43</v>
      </c>
      <c r="B46" s="13">
        <f t="shared" si="9"/>
        <v>17920</v>
      </c>
      <c r="C46" s="14">
        <f>5452+1247</f>
        <v>6699</v>
      </c>
      <c r="D46" s="14">
        <f>4413+1005</f>
        <v>5418</v>
      </c>
      <c r="E46" s="15">
        <f>658+320</f>
        <v>978</v>
      </c>
      <c r="F46" s="14">
        <f t="shared" si="10"/>
        <v>13095</v>
      </c>
      <c r="G46" s="14">
        <v>3218</v>
      </c>
      <c r="H46" s="14">
        <v>1339</v>
      </c>
      <c r="I46" s="14">
        <v>268</v>
      </c>
      <c r="J46" s="16">
        <f t="shared" si="11"/>
        <v>4825</v>
      </c>
    </row>
    <row r="47" spans="1:10" ht="10.5" customHeight="1">
      <c r="A47" s="17" t="s">
        <v>44</v>
      </c>
      <c r="B47" s="13">
        <f t="shared" si="9"/>
        <v>16953</v>
      </c>
      <c r="C47" s="23">
        <f>4881+894</f>
        <v>5775</v>
      </c>
      <c r="D47" s="14">
        <f>4228+831</f>
        <v>5059</v>
      </c>
      <c r="E47" s="15">
        <f>775+261</f>
        <v>1036</v>
      </c>
      <c r="F47" s="14">
        <f t="shared" si="10"/>
        <v>11870</v>
      </c>
      <c r="G47" s="14">
        <v>3352</v>
      </c>
      <c r="H47" s="14">
        <v>1394</v>
      </c>
      <c r="I47" s="14">
        <v>337</v>
      </c>
      <c r="J47" s="16">
        <f t="shared" si="11"/>
        <v>5083</v>
      </c>
    </row>
    <row r="48" spans="1:10" ht="8.25" customHeight="1">
      <c r="A48" s="17"/>
      <c r="B48" s="19"/>
      <c r="C48" s="19"/>
      <c r="D48" s="19"/>
      <c r="E48" s="20"/>
      <c r="F48" s="19"/>
      <c r="G48" s="19"/>
      <c r="H48" s="19"/>
      <c r="I48" s="19"/>
      <c r="J48" s="21"/>
    </row>
    <row r="49" spans="1:10" ht="10.5" customHeight="1">
      <c r="A49" s="17" t="s">
        <v>45</v>
      </c>
      <c r="B49" s="13">
        <f>F49+J49</f>
        <v>15941</v>
      </c>
      <c r="C49" s="14">
        <f>4309+981</f>
        <v>5290</v>
      </c>
      <c r="D49" s="14">
        <f>4327+900</f>
        <v>5227</v>
      </c>
      <c r="E49" s="15">
        <f>867+377</f>
        <v>1244</v>
      </c>
      <c r="F49" s="14">
        <f>C49+D49+E49</f>
        <v>11761</v>
      </c>
      <c r="G49" s="14">
        <v>2582</v>
      </c>
      <c r="H49" s="14">
        <v>1257</v>
      </c>
      <c r="I49" s="14">
        <v>341</v>
      </c>
      <c r="J49" s="16">
        <f>G49+H49+I49</f>
        <v>4180</v>
      </c>
    </row>
    <row r="50" spans="1:10" ht="10.5" customHeight="1">
      <c r="A50" s="17" t="s">
        <v>46</v>
      </c>
      <c r="B50" s="13">
        <f>F50+J50</f>
        <v>12621</v>
      </c>
      <c r="C50" s="14">
        <f>3283+868</f>
        <v>4151</v>
      </c>
      <c r="D50" s="14">
        <f>3428+810</f>
        <v>4238</v>
      </c>
      <c r="E50" s="15">
        <f>503+208</f>
        <v>711</v>
      </c>
      <c r="F50" s="14">
        <f>C50+D50+E50</f>
        <v>9100</v>
      </c>
      <c r="G50" s="14">
        <v>2295</v>
      </c>
      <c r="H50" s="14">
        <v>1024</v>
      </c>
      <c r="I50" s="14">
        <v>202</v>
      </c>
      <c r="J50" s="16">
        <f>G50+H50+I50</f>
        <v>3521</v>
      </c>
    </row>
    <row r="51" spans="1:10" ht="10.5" customHeight="1">
      <c r="A51" s="17" t="s">
        <v>47</v>
      </c>
      <c r="B51" s="13">
        <f>F51+J51</f>
        <v>22243</v>
      </c>
      <c r="C51" s="14">
        <f>6067+1251</f>
        <v>7318</v>
      </c>
      <c r="D51" s="14">
        <f>6173+1233</f>
        <v>7406</v>
      </c>
      <c r="E51" s="15">
        <f>1022+407</f>
        <v>1429</v>
      </c>
      <c r="F51" s="14">
        <f>C51+D51+E51</f>
        <v>16153</v>
      </c>
      <c r="G51" s="14">
        <v>3999</v>
      </c>
      <c r="H51" s="14">
        <v>1803</v>
      </c>
      <c r="I51" s="14">
        <v>288</v>
      </c>
      <c r="J51" s="16">
        <f>G51+H51+I51</f>
        <v>6090</v>
      </c>
    </row>
    <row r="52" spans="1:10" ht="10.5" customHeight="1">
      <c r="A52" s="17" t="s">
        <v>48</v>
      </c>
      <c r="B52" s="13">
        <f>F52+J52</f>
        <v>10402</v>
      </c>
      <c r="C52" s="14">
        <f>2702+557</f>
        <v>3259</v>
      </c>
      <c r="D52" s="14">
        <f>3408+571</f>
        <v>3979</v>
      </c>
      <c r="E52" s="15">
        <f>720+226</f>
        <v>946</v>
      </c>
      <c r="F52" s="14">
        <f>C52+D52+E52</f>
        <v>8184</v>
      </c>
      <c r="G52" s="14">
        <v>1325</v>
      </c>
      <c r="H52" s="14">
        <v>754</v>
      </c>
      <c r="I52" s="14">
        <v>139</v>
      </c>
      <c r="J52" s="16">
        <f>G52+H52+I52</f>
        <v>2218</v>
      </c>
    </row>
    <row r="53" spans="1:10" ht="8.25" customHeight="1">
      <c r="A53" s="17"/>
      <c r="B53" s="19"/>
      <c r="C53" s="19"/>
      <c r="D53" s="19"/>
      <c r="E53" s="20"/>
      <c r="F53" s="19"/>
      <c r="G53" s="19"/>
      <c r="H53" s="19"/>
      <c r="I53" s="19"/>
      <c r="J53" s="21"/>
    </row>
    <row r="54" spans="1:10" ht="10.5" customHeight="1">
      <c r="A54" s="17" t="s">
        <v>49</v>
      </c>
      <c r="B54" s="13">
        <f>F54+J54</f>
        <v>22319</v>
      </c>
      <c r="C54" s="14">
        <f>6225+1331</f>
        <v>7556</v>
      </c>
      <c r="D54" s="14">
        <f>6856+1348</f>
        <v>8204</v>
      </c>
      <c r="E54" s="15">
        <f>844+376</f>
        <v>1220</v>
      </c>
      <c r="F54" s="14">
        <f>C54+D54+E54</f>
        <v>16980</v>
      </c>
      <c r="G54" s="14">
        <v>3490</v>
      </c>
      <c r="H54" s="14">
        <v>1619</v>
      </c>
      <c r="I54" s="14">
        <v>230</v>
      </c>
      <c r="J54" s="16">
        <f>G54+H54+I54</f>
        <v>5339</v>
      </c>
    </row>
    <row r="55" spans="1:10" ht="10.5" customHeight="1">
      <c r="A55" s="17" t="s">
        <v>50</v>
      </c>
      <c r="B55" s="13">
        <f>F55+J55</f>
        <v>10760</v>
      </c>
      <c r="C55" s="14">
        <f>2876+652</f>
        <v>3528</v>
      </c>
      <c r="D55" s="14">
        <f>3667+733</f>
        <v>4400</v>
      </c>
      <c r="E55" s="15">
        <f>563+205</f>
        <v>768</v>
      </c>
      <c r="F55" s="14">
        <f>C55+D55+E55</f>
        <v>8696</v>
      </c>
      <c r="G55" s="14">
        <v>1320</v>
      </c>
      <c r="H55" s="14">
        <v>629</v>
      </c>
      <c r="I55" s="14">
        <v>115</v>
      </c>
      <c r="J55" s="16">
        <f>G55+H55+I55</f>
        <v>2064</v>
      </c>
    </row>
    <row r="56" spans="1:10" ht="10.5" customHeight="1">
      <c r="A56" s="17" t="s">
        <v>51</v>
      </c>
      <c r="B56" s="13">
        <f>F56+J56</f>
        <v>16134</v>
      </c>
      <c r="C56" s="14">
        <f>4256+1073</f>
        <v>5329</v>
      </c>
      <c r="D56" s="14">
        <f>4958+1054</f>
        <v>6012</v>
      </c>
      <c r="E56" s="15">
        <f>883+420</f>
        <v>1303</v>
      </c>
      <c r="F56" s="14">
        <f>C56+D56+E56</f>
        <v>12644</v>
      </c>
      <c r="G56" s="14">
        <v>2165</v>
      </c>
      <c r="H56" s="14">
        <v>1086</v>
      </c>
      <c r="I56" s="14">
        <v>239</v>
      </c>
      <c r="J56" s="16">
        <f>G56+H56+I56</f>
        <v>3490</v>
      </c>
    </row>
    <row r="57" spans="1:10" ht="10.5" customHeight="1">
      <c r="A57" s="17" t="s">
        <v>52</v>
      </c>
      <c r="B57" s="13">
        <f>F57+J57</f>
        <v>11195</v>
      </c>
      <c r="C57" s="14">
        <f>2882+794</f>
        <v>3676</v>
      </c>
      <c r="D57" s="14">
        <f>3726+764</f>
        <v>4490</v>
      </c>
      <c r="E57" s="15">
        <f>643+281</f>
        <v>924</v>
      </c>
      <c r="F57" s="14">
        <f>C57+D57+E57</f>
        <v>9090</v>
      </c>
      <c r="G57" s="14">
        <v>1324</v>
      </c>
      <c r="H57" s="14">
        <v>637</v>
      </c>
      <c r="I57" s="14">
        <v>144</v>
      </c>
      <c r="J57" s="16">
        <f>G57+H57+I57</f>
        <v>2105</v>
      </c>
    </row>
    <row r="58" spans="1:10" ht="10.5" customHeight="1">
      <c r="A58" s="17" t="s">
        <v>53</v>
      </c>
      <c r="B58" s="13">
        <f>F58+J58</f>
        <v>17063</v>
      </c>
      <c r="C58" s="14">
        <f>4623+1029</f>
        <v>5652</v>
      </c>
      <c r="D58" s="14">
        <f>4884+1078</f>
        <v>5962</v>
      </c>
      <c r="E58" s="15">
        <f>836+342</f>
        <v>1178</v>
      </c>
      <c r="F58" s="14">
        <f>C58+D58+E58</f>
        <v>12792</v>
      </c>
      <c r="G58" s="14">
        <v>2840</v>
      </c>
      <c r="H58" s="14">
        <v>1214</v>
      </c>
      <c r="I58" s="14">
        <v>217</v>
      </c>
      <c r="J58" s="16">
        <f>G58+H58+I58</f>
        <v>4271</v>
      </c>
    </row>
    <row r="59" spans="1:10" ht="8.25" customHeight="1">
      <c r="A59" s="17"/>
      <c r="B59" s="19"/>
      <c r="C59" s="19"/>
      <c r="D59" s="19"/>
      <c r="E59" s="20"/>
      <c r="F59" s="19"/>
      <c r="G59" s="19"/>
      <c r="H59" s="19"/>
      <c r="I59" s="19"/>
      <c r="J59" s="21"/>
    </row>
    <row r="60" spans="1:10" ht="10.5" customHeight="1">
      <c r="A60" s="17" t="s">
        <v>54</v>
      </c>
      <c r="B60" s="13">
        <f>F60+J60</f>
        <v>14764</v>
      </c>
      <c r="C60" s="14">
        <f>3641+931</f>
        <v>4572</v>
      </c>
      <c r="D60" s="14">
        <f>5165+967</f>
        <v>6132</v>
      </c>
      <c r="E60" s="15">
        <f>1050+349</f>
        <v>1399</v>
      </c>
      <c r="F60" s="14">
        <f>C60+D60+E60</f>
        <v>12103</v>
      </c>
      <c r="G60" s="14">
        <v>1544</v>
      </c>
      <c r="H60" s="14">
        <v>950</v>
      </c>
      <c r="I60" s="14">
        <v>167</v>
      </c>
      <c r="J60" s="16">
        <f>G60+H60+I60</f>
        <v>2661</v>
      </c>
    </row>
    <row r="61" spans="1:10" ht="10.5" customHeight="1">
      <c r="A61" s="17" t="s">
        <v>55</v>
      </c>
      <c r="B61" s="13">
        <f>F61+J61</f>
        <v>22349</v>
      </c>
      <c r="C61" s="14">
        <f>6245+1356</f>
        <v>7601</v>
      </c>
      <c r="D61" s="14">
        <f>6834+1401</f>
        <v>8235</v>
      </c>
      <c r="E61" s="15">
        <f>811+377</f>
        <v>1188</v>
      </c>
      <c r="F61" s="14">
        <f>C61+D61+E61</f>
        <v>17024</v>
      </c>
      <c r="G61" s="14">
        <v>3488</v>
      </c>
      <c r="H61" s="14">
        <v>1572</v>
      </c>
      <c r="I61" s="14">
        <v>265</v>
      </c>
      <c r="J61" s="16">
        <f>G61+H61+I61</f>
        <v>5325</v>
      </c>
    </row>
    <row r="62" spans="1:10" ht="10.5" customHeight="1">
      <c r="A62" s="17" t="s">
        <v>56</v>
      </c>
      <c r="B62" s="13">
        <f>F62+J62</f>
        <v>14595</v>
      </c>
      <c r="C62" s="14">
        <f>3610+931</f>
        <v>4541</v>
      </c>
      <c r="D62" s="14">
        <f>4848+992</f>
        <v>5840</v>
      </c>
      <c r="E62" s="15">
        <f>1162+373</f>
        <v>1535</v>
      </c>
      <c r="F62" s="14">
        <f>C62+D62+E62</f>
        <v>11916</v>
      </c>
      <c r="G62" s="14">
        <v>1651</v>
      </c>
      <c r="H62" s="14">
        <v>847</v>
      </c>
      <c r="I62" s="14">
        <v>181</v>
      </c>
      <c r="J62" s="16">
        <f>G62+H62+I62</f>
        <v>2679</v>
      </c>
    </row>
    <row r="63" spans="1:10" ht="10.5" customHeight="1">
      <c r="A63" s="17" t="s">
        <v>57</v>
      </c>
      <c r="B63" s="13">
        <f>F63+J63</f>
        <v>20038</v>
      </c>
      <c r="C63" s="14">
        <f>5044+1244</f>
        <v>6288</v>
      </c>
      <c r="D63" s="14">
        <f>6507+1360</f>
        <v>7867</v>
      </c>
      <c r="E63" s="15">
        <f>1440+621</f>
        <v>2061</v>
      </c>
      <c r="F63" s="14">
        <f>C63+D63+E63</f>
        <v>16216</v>
      </c>
      <c r="G63" s="14">
        <v>2381</v>
      </c>
      <c r="H63" s="14">
        <v>1182</v>
      </c>
      <c r="I63" s="14">
        <v>259</v>
      </c>
      <c r="J63" s="16">
        <f>G63+H63+I63</f>
        <v>3822</v>
      </c>
    </row>
    <row r="64" spans="1:10" ht="8.25" customHeight="1">
      <c r="A64" s="17"/>
      <c r="B64" s="13"/>
      <c r="C64" s="14"/>
      <c r="D64" s="14"/>
      <c r="E64" s="15"/>
      <c r="F64" s="14"/>
      <c r="G64" s="14"/>
      <c r="H64" s="14"/>
      <c r="I64" s="14"/>
      <c r="J64" s="16"/>
    </row>
    <row r="65" spans="1:10" ht="10.5" customHeight="1">
      <c r="A65" s="17" t="s">
        <v>58</v>
      </c>
      <c r="B65" s="13">
        <f>F65+J65</f>
        <v>13246</v>
      </c>
      <c r="C65" s="14">
        <f>3135+869</f>
        <v>4004</v>
      </c>
      <c r="D65" s="14">
        <f>4770+1006</f>
        <v>5776</v>
      </c>
      <c r="E65" s="15">
        <f>979+337</f>
        <v>1316</v>
      </c>
      <c r="F65" s="14">
        <f>C65+D65+E65</f>
        <v>11096</v>
      </c>
      <c r="G65" s="14">
        <v>1307</v>
      </c>
      <c r="H65" s="14">
        <v>690</v>
      </c>
      <c r="I65" s="14">
        <v>153</v>
      </c>
      <c r="J65" s="16">
        <f>G65+H65+I65</f>
        <v>2150</v>
      </c>
    </row>
    <row r="66" spans="1:10" ht="10.5" customHeight="1">
      <c r="A66" s="17" t="s">
        <v>59</v>
      </c>
      <c r="B66" s="13">
        <f>F66+J66</f>
        <v>15274</v>
      </c>
      <c r="C66" s="14">
        <f>4023+897</f>
        <v>4920</v>
      </c>
      <c r="D66" s="14">
        <f>5061+842</f>
        <v>5903</v>
      </c>
      <c r="E66" s="15">
        <f>1042+357</f>
        <v>1399</v>
      </c>
      <c r="F66" s="14">
        <f>C66+D66+E66</f>
        <v>12222</v>
      </c>
      <c r="G66" s="14">
        <v>1957</v>
      </c>
      <c r="H66" s="14">
        <v>918</v>
      </c>
      <c r="I66" s="14">
        <v>177</v>
      </c>
      <c r="J66" s="16">
        <f>G66+H66+I66</f>
        <v>3052</v>
      </c>
    </row>
    <row r="67" spans="1:10" ht="10.5" customHeight="1">
      <c r="A67" s="17" t="s">
        <v>60</v>
      </c>
      <c r="B67" s="13">
        <f>F67+J67</f>
        <v>9760</v>
      </c>
      <c r="C67" s="14">
        <f>2396+605</f>
        <v>3001</v>
      </c>
      <c r="D67" s="14">
        <f>3666+698</f>
        <v>4364</v>
      </c>
      <c r="E67" s="15">
        <f>646+193</f>
        <v>839</v>
      </c>
      <c r="F67" s="14">
        <f>C67+D67+E67</f>
        <v>8204</v>
      </c>
      <c r="G67" s="14">
        <v>895</v>
      </c>
      <c r="H67" s="14">
        <v>543</v>
      </c>
      <c r="I67" s="14">
        <v>118</v>
      </c>
      <c r="J67" s="16">
        <f>G67+H67+I67</f>
        <v>1556</v>
      </c>
    </row>
    <row r="68" spans="1:10" ht="10.5" customHeight="1">
      <c r="A68" s="17" t="s">
        <v>61</v>
      </c>
      <c r="B68" s="13">
        <f>F68+J68</f>
        <v>16962</v>
      </c>
      <c r="C68" s="14">
        <f>4029+1061</f>
        <v>5090</v>
      </c>
      <c r="D68" s="14">
        <f>6148+1131</f>
        <v>7279</v>
      </c>
      <c r="E68" s="15">
        <f>1412+445</f>
        <v>1857</v>
      </c>
      <c r="F68" s="14">
        <f>C68+D68+E68</f>
        <v>14226</v>
      </c>
      <c r="G68" s="14">
        <v>1641</v>
      </c>
      <c r="H68" s="14">
        <v>917</v>
      </c>
      <c r="I68" s="14">
        <v>178</v>
      </c>
      <c r="J68" s="16">
        <f>G68+H68+I68</f>
        <v>2736</v>
      </c>
    </row>
    <row r="69" spans="1:10" ht="10.5" customHeight="1">
      <c r="A69" s="17" t="s">
        <v>62</v>
      </c>
      <c r="B69" s="13">
        <f>F69+J69</f>
        <v>18092</v>
      </c>
      <c r="C69" s="14">
        <f>3873+1460</f>
        <v>5333</v>
      </c>
      <c r="D69" s="14">
        <f>6254+1504</f>
        <v>7758</v>
      </c>
      <c r="E69" s="15">
        <f>1705+598</f>
        <v>2303</v>
      </c>
      <c r="F69" s="14">
        <f>C69+D69+E69</f>
        <v>15394</v>
      </c>
      <c r="G69" s="14">
        <v>1575</v>
      </c>
      <c r="H69" s="14">
        <v>912</v>
      </c>
      <c r="I69" s="14">
        <v>211</v>
      </c>
      <c r="J69" s="16">
        <f>G69+H69+I69</f>
        <v>2698</v>
      </c>
    </row>
    <row r="70" spans="1:10" ht="10.5" customHeight="1">
      <c r="A70" s="17"/>
      <c r="B70" s="13"/>
      <c r="C70" s="14"/>
      <c r="D70" s="14"/>
      <c r="E70" s="15"/>
      <c r="F70" s="14"/>
      <c r="G70" s="14"/>
      <c r="H70" s="14"/>
      <c r="I70" s="14"/>
      <c r="J70" s="16"/>
    </row>
    <row r="71" spans="1:10" ht="10.5" customHeight="1">
      <c r="A71" s="17" t="s">
        <v>63</v>
      </c>
      <c r="B71" s="13">
        <f aca="true" t="shared" si="12" ref="B71:B77">F71+J71</f>
        <v>15031</v>
      </c>
      <c r="C71" s="14">
        <f>3922+954</f>
        <v>4876</v>
      </c>
      <c r="D71" s="14">
        <f>5093+1036</f>
        <v>6129</v>
      </c>
      <c r="E71" s="15">
        <f>1066+362</f>
        <v>1428</v>
      </c>
      <c r="F71" s="14">
        <f aca="true" t="shared" si="13" ref="F71:F77">C71+D71+E71</f>
        <v>12433</v>
      </c>
      <c r="G71" s="14">
        <v>1602</v>
      </c>
      <c r="H71" s="14">
        <v>826</v>
      </c>
      <c r="I71" s="14">
        <v>170</v>
      </c>
      <c r="J71" s="16">
        <f aca="true" t="shared" si="14" ref="J71:J77">G71+H71+I71</f>
        <v>2598</v>
      </c>
    </row>
    <row r="72" spans="1:10" ht="10.5" customHeight="1">
      <c r="A72" s="17" t="s">
        <v>64</v>
      </c>
      <c r="B72" s="13">
        <f t="shared" si="12"/>
        <v>51729</v>
      </c>
      <c r="C72" s="14">
        <f>14168+3048</f>
        <v>17216</v>
      </c>
      <c r="D72" s="14">
        <f>13116+2844</f>
        <v>15960</v>
      </c>
      <c r="E72" s="15">
        <f>1780+847</f>
        <v>2627</v>
      </c>
      <c r="F72" s="14">
        <f t="shared" si="13"/>
        <v>35803</v>
      </c>
      <c r="G72" s="14">
        <v>10837</v>
      </c>
      <c r="H72" s="14">
        <v>4377</v>
      </c>
      <c r="I72" s="14">
        <v>712</v>
      </c>
      <c r="J72" s="16">
        <f t="shared" si="14"/>
        <v>15926</v>
      </c>
    </row>
    <row r="73" spans="1:10" ht="10.5" customHeight="1">
      <c r="A73" s="17" t="s">
        <v>65</v>
      </c>
      <c r="B73" s="13">
        <f t="shared" si="12"/>
        <v>21904</v>
      </c>
      <c r="C73" s="14">
        <f>5664+1574</f>
        <v>7238</v>
      </c>
      <c r="D73" s="14">
        <f>6882+1705</f>
        <v>8587</v>
      </c>
      <c r="E73" s="15">
        <f>1285+582</f>
        <v>1867</v>
      </c>
      <c r="F73" s="14">
        <f t="shared" si="13"/>
        <v>17692</v>
      </c>
      <c r="G73" s="14">
        <v>2634</v>
      </c>
      <c r="H73" s="14">
        <v>1344</v>
      </c>
      <c r="I73" s="14">
        <v>234</v>
      </c>
      <c r="J73" s="16">
        <f t="shared" si="14"/>
        <v>4212</v>
      </c>
    </row>
    <row r="74" spans="1:10" ht="10.5" customHeight="1">
      <c r="A74" s="17" t="s">
        <v>66</v>
      </c>
      <c r="B74" s="13">
        <f t="shared" si="12"/>
        <v>17781</v>
      </c>
      <c r="C74" s="14">
        <f>4690+1170</f>
        <v>5860</v>
      </c>
      <c r="D74" s="14">
        <f>5869+1174</f>
        <v>7043</v>
      </c>
      <c r="E74" s="15">
        <f>999+382</f>
        <v>1381</v>
      </c>
      <c r="F74" s="14">
        <f t="shared" si="13"/>
        <v>14284</v>
      </c>
      <c r="G74" s="14">
        <v>2295</v>
      </c>
      <c r="H74" s="14">
        <v>1012</v>
      </c>
      <c r="I74" s="14">
        <v>190</v>
      </c>
      <c r="J74" s="16">
        <f t="shared" si="14"/>
        <v>3497</v>
      </c>
    </row>
    <row r="75" spans="1:10" ht="10.5" customHeight="1">
      <c r="A75" s="17" t="s">
        <v>67</v>
      </c>
      <c r="B75" s="13">
        <f t="shared" si="12"/>
        <v>22935</v>
      </c>
      <c r="C75" s="14">
        <f>6092+1548</f>
        <v>7640</v>
      </c>
      <c r="D75" s="14">
        <f>7888+1476</f>
        <v>9364</v>
      </c>
      <c r="E75" s="15">
        <f>1478+487</f>
        <v>1965</v>
      </c>
      <c r="F75" s="14">
        <f t="shared" si="13"/>
        <v>18969</v>
      </c>
      <c r="G75" s="14">
        <v>2576</v>
      </c>
      <c r="H75" s="14">
        <v>1180</v>
      </c>
      <c r="I75" s="14">
        <v>210</v>
      </c>
      <c r="J75" s="16">
        <f t="shared" si="14"/>
        <v>3966</v>
      </c>
    </row>
    <row r="76" spans="1:10" ht="10.5" customHeight="1">
      <c r="A76" s="17" t="s">
        <v>68</v>
      </c>
      <c r="B76" s="13">
        <f t="shared" si="12"/>
        <v>12208</v>
      </c>
      <c r="C76" s="14">
        <f>3340+661</f>
        <v>4001</v>
      </c>
      <c r="D76" s="14">
        <f>4188+691</f>
        <v>4879</v>
      </c>
      <c r="E76" s="15">
        <f>794+274</f>
        <v>1068</v>
      </c>
      <c r="F76" s="14">
        <f t="shared" si="13"/>
        <v>9948</v>
      </c>
      <c r="G76" s="14">
        <v>1394</v>
      </c>
      <c r="H76" s="14">
        <v>702</v>
      </c>
      <c r="I76" s="14">
        <v>164</v>
      </c>
      <c r="J76" s="16">
        <f t="shared" si="14"/>
        <v>2260</v>
      </c>
    </row>
    <row r="77" spans="1:10" ht="10.5" customHeight="1">
      <c r="A77" s="17" t="s">
        <v>69</v>
      </c>
      <c r="B77" s="13">
        <f t="shared" si="12"/>
        <v>16264</v>
      </c>
      <c r="C77" s="14">
        <f>4167+1091</f>
        <v>5258</v>
      </c>
      <c r="D77" s="14">
        <f>5363+1110</f>
        <v>6473</v>
      </c>
      <c r="E77" s="15">
        <f>1183+424</f>
        <v>1607</v>
      </c>
      <c r="F77" s="14">
        <f t="shared" si="13"/>
        <v>13338</v>
      </c>
      <c r="G77" s="14">
        <v>1807</v>
      </c>
      <c r="H77" s="14">
        <v>921</v>
      </c>
      <c r="I77" s="14">
        <v>198</v>
      </c>
      <c r="J77" s="16">
        <f t="shared" si="14"/>
        <v>2926</v>
      </c>
    </row>
    <row r="78" spans="1:10" ht="10.5" customHeight="1">
      <c r="A78" s="17"/>
      <c r="B78" s="19"/>
      <c r="C78" s="19"/>
      <c r="D78" s="19"/>
      <c r="E78" s="20"/>
      <c r="F78" s="19"/>
      <c r="G78" s="19"/>
      <c r="H78" s="19"/>
      <c r="I78" s="19"/>
      <c r="J78" s="21"/>
    </row>
    <row r="79" spans="1:10" ht="10.5" customHeight="1">
      <c r="A79" s="17" t="s">
        <v>70</v>
      </c>
      <c r="B79" s="13">
        <f>F79+J79</f>
        <v>6269</v>
      </c>
      <c r="C79" s="14">
        <f>1776+336</f>
        <v>2112</v>
      </c>
      <c r="D79" s="14">
        <f>1901+292</f>
        <v>2193</v>
      </c>
      <c r="E79" s="15">
        <f>418+128</f>
        <v>546</v>
      </c>
      <c r="F79" s="14">
        <f>C79+D79+E79</f>
        <v>4851</v>
      </c>
      <c r="G79" s="14">
        <v>872</v>
      </c>
      <c r="H79" s="14">
        <v>430</v>
      </c>
      <c r="I79" s="14">
        <v>116</v>
      </c>
      <c r="J79" s="16">
        <f>G79+H79+I79</f>
        <v>1418</v>
      </c>
    </row>
    <row r="80" spans="1:10" ht="10.5" customHeight="1">
      <c r="A80" s="17" t="s">
        <v>71</v>
      </c>
      <c r="B80" s="13">
        <f>F80+J80</f>
        <v>32116</v>
      </c>
      <c r="C80" s="14">
        <f>8894+1812</f>
        <v>10706</v>
      </c>
      <c r="D80" s="14">
        <f>10412+1733</f>
        <v>12145</v>
      </c>
      <c r="E80" s="15">
        <f>1604+578</f>
        <v>2182</v>
      </c>
      <c r="F80" s="14">
        <f>C80+D80+E80</f>
        <v>25033</v>
      </c>
      <c r="G80" s="14">
        <v>4667</v>
      </c>
      <c r="H80" s="14">
        <v>2022</v>
      </c>
      <c r="I80" s="14">
        <v>394</v>
      </c>
      <c r="J80" s="16">
        <f>G80+H80+I80</f>
        <v>7083</v>
      </c>
    </row>
    <row r="81" spans="1:10" ht="10.5" customHeight="1">
      <c r="A81" s="17" t="s">
        <v>72</v>
      </c>
      <c r="B81" s="13">
        <f>F81+J81</f>
        <v>15245</v>
      </c>
      <c r="C81" s="14">
        <f>4143+1078</f>
        <v>5221</v>
      </c>
      <c r="D81" s="14">
        <f>4922+977</f>
        <v>5899</v>
      </c>
      <c r="E81" s="15">
        <f>864+343</f>
        <v>1207</v>
      </c>
      <c r="F81" s="14">
        <f>C81+D81+E81</f>
        <v>12327</v>
      </c>
      <c r="G81" s="14">
        <v>1850</v>
      </c>
      <c r="H81" s="14">
        <v>897</v>
      </c>
      <c r="I81" s="14">
        <v>171</v>
      </c>
      <c r="J81" s="16">
        <f>G81+H81+I81</f>
        <v>2918</v>
      </c>
    </row>
    <row r="82" spans="1:10" ht="10.5" customHeight="1">
      <c r="A82" s="17" t="s">
        <v>73</v>
      </c>
      <c r="B82" s="13">
        <f>F82+J82</f>
        <v>19216</v>
      </c>
      <c r="C82" s="14">
        <f>5064+1150</f>
        <v>6214</v>
      </c>
      <c r="D82" s="14">
        <f>6542+1105</f>
        <v>7647</v>
      </c>
      <c r="E82" s="15">
        <f>1167+368</f>
        <v>1535</v>
      </c>
      <c r="F82" s="14">
        <f>C82+D82+E82</f>
        <v>15396</v>
      </c>
      <c r="G82" s="14">
        <v>2421</v>
      </c>
      <c r="H82" s="14">
        <v>1172</v>
      </c>
      <c r="I82" s="14">
        <v>227</v>
      </c>
      <c r="J82" s="16">
        <f>G82+H82+I82</f>
        <v>3820</v>
      </c>
    </row>
    <row r="83" spans="1:10" ht="10.5" customHeight="1">
      <c r="A83" s="17" t="s">
        <v>74</v>
      </c>
      <c r="B83" s="13">
        <f>F83+J83</f>
        <v>18158</v>
      </c>
      <c r="C83" s="14">
        <f>4589+1044</f>
        <v>5633</v>
      </c>
      <c r="D83" s="14">
        <f>6161+1020</f>
        <v>7181</v>
      </c>
      <c r="E83" s="15">
        <f>1073+360</f>
        <v>1433</v>
      </c>
      <c r="F83" s="14">
        <f>C83+D83+E83</f>
        <v>14247</v>
      </c>
      <c r="G83" s="14">
        <v>2404</v>
      </c>
      <c r="H83" s="14">
        <v>1288</v>
      </c>
      <c r="I83" s="14">
        <v>219</v>
      </c>
      <c r="J83" s="16">
        <f>G83+H83+I83</f>
        <v>3911</v>
      </c>
    </row>
    <row r="84" spans="1:10" ht="10.5" customHeight="1">
      <c r="A84" s="17"/>
      <c r="B84" s="19"/>
      <c r="C84" s="19"/>
      <c r="D84" s="19"/>
      <c r="E84" s="20"/>
      <c r="F84" s="19"/>
      <c r="G84" s="19"/>
      <c r="H84" s="19"/>
      <c r="I84" s="19"/>
      <c r="J84" s="21"/>
    </row>
    <row r="85" spans="1:10" ht="10.5" customHeight="1">
      <c r="A85" s="17" t="s">
        <v>75</v>
      </c>
      <c r="B85" s="13">
        <f>F85+J85</f>
        <v>15292</v>
      </c>
      <c r="C85" s="14">
        <f>4003+937</f>
        <v>4940</v>
      </c>
      <c r="D85" s="14">
        <f>5168+1029</f>
        <v>6197</v>
      </c>
      <c r="E85" s="15">
        <f>907+320</f>
        <v>1227</v>
      </c>
      <c r="F85" s="14">
        <f>C85+D85+E85</f>
        <v>12364</v>
      </c>
      <c r="G85" s="14">
        <v>1854</v>
      </c>
      <c r="H85" s="14">
        <v>891</v>
      </c>
      <c r="I85" s="14">
        <v>183</v>
      </c>
      <c r="J85" s="16">
        <f>G85+H85+I85</f>
        <v>2928</v>
      </c>
    </row>
    <row r="86" spans="1:10" ht="10.5" customHeight="1">
      <c r="A86" s="17" t="s">
        <v>76</v>
      </c>
      <c r="B86" s="13">
        <f>F86+J86</f>
        <v>20544</v>
      </c>
      <c r="C86" s="14">
        <f>5482+1526</f>
        <v>7008</v>
      </c>
      <c r="D86" s="14">
        <f>7138+1451</f>
        <v>8589</v>
      </c>
      <c r="E86" s="15">
        <f>1240+511</f>
        <v>1751</v>
      </c>
      <c r="F86" s="14">
        <f>C86+D86+E86</f>
        <v>17348</v>
      </c>
      <c r="G86" s="14">
        <v>2031</v>
      </c>
      <c r="H86" s="14">
        <v>988</v>
      </c>
      <c r="I86" s="14">
        <v>177</v>
      </c>
      <c r="J86" s="16">
        <f>G86+H86+I86</f>
        <v>3196</v>
      </c>
    </row>
    <row r="87" spans="1:10" ht="10.5" customHeight="1">
      <c r="A87" s="17" t="s">
        <v>77</v>
      </c>
      <c r="B87" s="13">
        <f>F87+J87</f>
        <v>21205</v>
      </c>
      <c r="C87" s="14">
        <f>5305+1230</f>
        <v>6535</v>
      </c>
      <c r="D87" s="14">
        <f>7275+1301</f>
        <v>8576</v>
      </c>
      <c r="E87" s="15">
        <f>1489+518</f>
        <v>2007</v>
      </c>
      <c r="F87" s="14">
        <f>C87+D87+E87</f>
        <v>17118</v>
      </c>
      <c r="G87" s="14">
        <v>2594</v>
      </c>
      <c r="H87" s="14">
        <v>1235</v>
      </c>
      <c r="I87" s="14">
        <v>258</v>
      </c>
      <c r="J87" s="16">
        <f>G87+H87+I87</f>
        <v>4087</v>
      </c>
    </row>
    <row r="88" spans="1:10" ht="10.5" customHeight="1">
      <c r="A88" s="17" t="s">
        <v>78</v>
      </c>
      <c r="B88" s="13">
        <f>F88+J88</f>
        <v>27568</v>
      </c>
      <c r="C88" s="14">
        <f>7398+1792</f>
        <v>9190</v>
      </c>
      <c r="D88" s="14">
        <f>8937+1799</f>
        <v>10736</v>
      </c>
      <c r="E88" s="15">
        <f>1683+630</f>
        <v>2313</v>
      </c>
      <c r="F88" s="14">
        <f>C88+D88+E88</f>
        <v>22239</v>
      </c>
      <c r="G88" s="14">
        <v>3502</v>
      </c>
      <c r="H88" s="14">
        <v>1571</v>
      </c>
      <c r="I88" s="14">
        <v>256</v>
      </c>
      <c r="J88" s="16">
        <f>G88+H88+I88</f>
        <v>5329</v>
      </c>
    </row>
    <row r="89" spans="1:10" ht="10.5" customHeight="1">
      <c r="A89" s="17"/>
      <c r="B89" s="19"/>
      <c r="C89" s="19"/>
      <c r="D89" s="19"/>
      <c r="E89" s="20"/>
      <c r="F89" s="19"/>
      <c r="G89" s="19"/>
      <c r="H89" s="19"/>
      <c r="I89" s="19"/>
      <c r="J89" s="21"/>
    </row>
    <row r="90" spans="1:10" ht="10.5" customHeight="1">
      <c r="A90" s="17" t="s">
        <v>79</v>
      </c>
      <c r="B90" s="13">
        <f aca="true" t="shared" si="15" ref="B90:B95">F90+J90</f>
        <v>15651</v>
      </c>
      <c r="C90" s="14">
        <f>3930+898</f>
        <v>4828</v>
      </c>
      <c r="D90" s="14">
        <f>4656+869</f>
        <v>5525</v>
      </c>
      <c r="E90" s="15">
        <f>1071+370</f>
        <v>1441</v>
      </c>
      <c r="F90" s="14">
        <f aca="true" t="shared" si="16" ref="F90:F95">C90+D90+E90</f>
        <v>11794</v>
      </c>
      <c r="G90" s="14">
        <v>2401</v>
      </c>
      <c r="H90" s="14">
        <v>1150</v>
      </c>
      <c r="I90" s="14">
        <v>306</v>
      </c>
      <c r="J90" s="16">
        <f aca="true" t="shared" si="17" ref="J90:J95">G90+H90+I90</f>
        <v>3857</v>
      </c>
    </row>
    <row r="91" spans="1:10" ht="10.5" customHeight="1">
      <c r="A91" s="17" t="s">
        <v>80</v>
      </c>
      <c r="B91" s="13">
        <f t="shared" si="15"/>
        <v>33149</v>
      </c>
      <c r="C91" s="14">
        <f>8615+2314</f>
        <v>10929</v>
      </c>
      <c r="D91" s="14">
        <f>10689+2343</f>
        <v>13032</v>
      </c>
      <c r="E91" s="15">
        <f>2054+873</f>
        <v>2927</v>
      </c>
      <c r="F91" s="14">
        <f t="shared" si="16"/>
        <v>26888</v>
      </c>
      <c r="G91" s="14">
        <v>3964</v>
      </c>
      <c r="H91" s="14">
        <v>1925</v>
      </c>
      <c r="I91" s="14">
        <v>372</v>
      </c>
      <c r="J91" s="16">
        <f t="shared" si="17"/>
        <v>6261</v>
      </c>
    </row>
    <row r="92" spans="1:10" ht="10.5" customHeight="1">
      <c r="A92" s="17" t="s">
        <v>81</v>
      </c>
      <c r="B92" s="13">
        <f t="shared" si="15"/>
        <v>40930</v>
      </c>
      <c r="C92" s="14">
        <f>11396+2684</f>
        <v>14080</v>
      </c>
      <c r="D92" s="14">
        <f>11829+2618</f>
        <v>14447</v>
      </c>
      <c r="E92" s="15">
        <f>1815+955</f>
        <v>2770</v>
      </c>
      <c r="F92" s="14">
        <f t="shared" si="16"/>
        <v>31297</v>
      </c>
      <c r="G92" s="14">
        <v>6213</v>
      </c>
      <c r="H92" s="14">
        <v>2779</v>
      </c>
      <c r="I92" s="14">
        <v>641</v>
      </c>
      <c r="J92" s="16">
        <f t="shared" si="17"/>
        <v>9633</v>
      </c>
    </row>
    <row r="93" spans="1:10" ht="10.5" customHeight="1">
      <c r="A93" s="17" t="s">
        <v>82</v>
      </c>
      <c r="B93" s="13">
        <f t="shared" si="15"/>
        <v>23628</v>
      </c>
      <c r="C93" s="14">
        <f>5871+1480</f>
        <v>7351</v>
      </c>
      <c r="D93" s="14">
        <f>7772+1509</f>
        <v>9281</v>
      </c>
      <c r="E93" s="15">
        <f>1609+580</f>
        <v>2189</v>
      </c>
      <c r="F93" s="14">
        <f t="shared" si="16"/>
        <v>18821</v>
      </c>
      <c r="G93" s="14">
        <v>2915</v>
      </c>
      <c r="H93" s="14">
        <v>1523</v>
      </c>
      <c r="I93" s="14">
        <v>369</v>
      </c>
      <c r="J93" s="16">
        <f t="shared" si="17"/>
        <v>4807</v>
      </c>
    </row>
    <row r="94" spans="1:10" ht="10.5" customHeight="1">
      <c r="A94" s="17" t="s">
        <v>83</v>
      </c>
      <c r="B94" s="13">
        <f t="shared" si="15"/>
        <v>26426</v>
      </c>
      <c r="C94" s="14">
        <f>7433+1581</f>
        <v>9014</v>
      </c>
      <c r="D94" s="14">
        <f>9078+1608</f>
        <v>10686</v>
      </c>
      <c r="E94" s="15">
        <f>1600+485</f>
        <v>2085</v>
      </c>
      <c r="F94" s="14">
        <f t="shared" si="16"/>
        <v>21785</v>
      </c>
      <c r="G94" s="14">
        <v>2969</v>
      </c>
      <c r="H94" s="14">
        <v>1412</v>
      </c>
      <c r="I94" s="14">
        <v>260</v>
      </c>
      <c r="J94" s="16">
        <f t="shared" si="17"/>
        <v>4641</v>
      </c>
    </row>
    <row r="95" spans="1:10" ht="10.5" customHeight="1">
      <c r="A95" s="17" t="s">
        <v>84</v>
      </c>
      <c r="B95" s="13">
        <f t="shared" si="15"/>
        <v>45777</v>
      </c>
      <c r="C95" s="14">
        <f>12381+2888</f>
        <v>15269</v>
      </c>
      <c r="D95" s="14">
        <f>12367+2555</f>
        <v>14922</v>
      </c>
      <c r="E95" s="15">
        <f>1659+794</f>
        <v>2453</v>
      </c>
      <c r="F95" s="14">
        <f t="shared" si="16"/>
        <v>32644</v>
      </c>
      <c r="G95" s="14">
        <v>8630</v>
      </c>
      <c r="H95" s="14">
        <v>3802</v>
      </c>
      <c r="I95" s="14">
        <v>701</v>
      </c>
      <c r="J95" s="16">
        <f t="shared" si="17"/>
        <v>13133</v>
      </c>
    </row>
    <row r="96" spans="1:10" ht="10.5" customHeight="1">
      <c r="A96" s="17"/>
      <c r="B96" s="13"/>
      <c r="C96" s="14"/>
      <c r="D96" s="14"/>
      <c r="E96" s="15"/>
      <c r="F96" s="14"/>
      <c r="G96" s="14"/>
      <c r="H96" s="14"/>
      <c r="I96" s="14"/>
      <c r="J96" s="16"/>
    </row>
    <row r="97" spans="1:10" s="27" customFormat="1" ht="13.5" customHeight="1">
      <c r="A97" s="24" t="s">
        <v>85</v>
      </c>
      <c r="B97" s="25">
        <f aca="true" t="shared" si="18" ref="B97:J97">SUM(B6:B95)</f>
        <v>1434175</v>
      </c>
      <c r="C97" s="25">
        <f t="shared" si="18"/>
        <v>473680</v>
      </c>
      <c r="D97" s="25">
        <f t="shared" si="18"/>
        <v>516536</v>
      </c>
      <c r="E97" s="25">
        <f t="shared" si="18"/>
        <v>100554</v>
      </c>
      <c r="F97" s="25">
        <f t="shared" si="18"/>
        <v>1090770</v>
      </c>
      <c r="G97" s="25">
        <f t="shared" si="18"/>
        <v>221974</v>
      </c>
      <c r="H97" s="25">
        <f t="shared" si="18"/>
        <v>102369</v>
      </c>
      <c r="I97" s="25">
        <f t="shared" si="18"/>
        <v>19062</v>
      </c>
      <c r="J97" s="26">
        <f t="shared" si="18"/>
        <v>343405</v>
      </c>
    </row>
    <row r="99" s="28" customFormat="1" ht="11.25">
      <c r="E99" s="29"/>
    </row>
    <row r="100" ht="11.25">
      <c r="J100" s="28"/>
    </row>
    <row r="101" spans="3:10" ht="11.25">
      <c r="C101" s="28"/>
      <c r="D101" s="28"/>
      <c r="E101" s="29"/>
      <c r="F101" s="28"/>
      <c r="G101" s="28"/>
      <c r="H101" s="28"/>
      <c r="I101" s="28"/>
      <c r="J101" s="28"/>
    </row>
  </sheetData>
  <mergeCells count="5">
    <mergeCell ref="A3:A5"/>
    <mergeCell ref="C4:F4"/>
    <mergeCell ref="G4:J4"/>
    <mergeCell ref="C3:J3"/>
    <mergeCell ref="B3:B5"/>
  </mergeCells>
  <printOptions horizontalCentered="1"/>
  <pageMargins left="0.984251968503937" right="0.984251968503937" top="1.3779527559055118" bottom="1.3779527559055118" header="1.1811023622047245" footer="0.787401574803149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CSU</cp:lastModifiedBy>
  <dcterms:created xsi:type="dcterms:W3CDTF">2004-10-04T06:10:39Z</dcterms:created>
  <dcterms:modified xsi:type="dcterms:W3CDTF">2004-10-06T12:10:54Z</dcterms:modified>
  <cp:category/>
  <cp:version/>
  <cp:contentType/>
  <cp:contentStatus/>
</cp:coreProperties>
</file>