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_4" sheetId="1" r:id="rId1"/>
  </sheets>
  <definedNames/>
  <calcPr fullCalcOnLoad="1"/>
</workbook>
</file>

<file path=xl/sharedStrings.xml><?xml version="1.0" encoding="utf-8"?>
<sst xmlns="http://schemas.openxmlformats.org/spreadsheetml/2006/main" count="97" uniqueCount="37">
  <si>
    <t xml:space="preserve">Tab. 4  Obyvatelstvo 15-ti leté a starší podle nejvyššího ukončeného vzdělání, podle národnosti  </t>
  </si>
  <si>
    <t xml:space="preserve">             a podle pohlaví k 1. 3. 2001</t>
  </si>
  <si>
    <t>Národnost</t>
  </si>
  <si>
    <t>Nejvyšší ukončené vzdělání</t>
  </si>
  <si>
    <t>Obyvatelstvo</t>
  </si>
  <si>
    <t>základní</t>
  </si>
  <si>
    <t>střední</t>
  </si>
  <si>
    <t>úplné</t>
  </si>
  <si>
    <t>vyšší</t>
  </si>
  <si>
    <t>vysokoškol.</t>
  </si>
  <si>
    <t>bez vzdělání</t>
  </si>
  <si>
    <t>nezjištěné vzdělání</t>
  </si>
  <si>
    <t xml:space="preserve">15-ti leté </t>
  </si>
  <si>
    <t xml:space="preserve">odborné </t>
  </si>
  <si>
    <t>a starší</t>
  </si>
  <si>
    <t>s maturitou</t>
  </si>
  <si>
    <t>a nástavb.</t>
  </si>
  <si>
    <t>celkem</t>
  </si>
  <si>
    <t>Muži (abs.)</t>
  </si>
  <si>
    <t>česká</t>
  </si>
  <si>
    <t>moravská</t>
  </si>
  <si>
    <t>slezská</t>
  </si>
  <si>
    <t>slovenská</t>
  </si>
  <si>
    <t>polská</t>
  </si>
  <si>
    <t>německá</t>
  </si>
  <si>
    <t>romská</t>
  </si>
  <si>
    <t>maďarská</t>
  </si>
  <si>
    <t>ukrajinská</t>
  </si>
  <si>
    <t>ruská</t>
  </si>
  <si>
    <t>vietnamská</t>
  </si>
  <si>
    <t>jiná</t>
  </si>
  <si>
    <t>nezjištěná</t>
  </si>
  <si>
    <t>Celkem</t>
  </si>
  <si>
    <t>Ženy (abs.)</t>
  </si>
  <si>
    <t>dokončení</t>
  </si>
  <si>
    <t>Celkem (abs.)</t>
  </si>
  <si>
    <t>Celkem (v %)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</si>
</sst>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##,000"/>
    <numFmt numFmtId="166" formatCode="#,##0__"/>
    <numFmt numFmtId="167" formatCode="0__"/>
    <numFmt numFmtId="168" formatCode="##,#0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3" fontId="5" fillId="0" borderId="2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5" fillId="0" borderId="9" xfId="0" applyFont="1" applyBorder="1" applyAlignment="1">
      <alignment horizontal="left" vertical="center" indent="1"/>
    </xf>
    <xf numFmtId="4" fontId="5" fillId="0" borderId="4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4" fontId="5" fillId="0" borderId="4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right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workbookViewId="0" topLeftCell="A1">
      <selection activeCell="B21" sqref="B21"/>
    </sheetView>
  </sheetViews>
  <sheetFormatPr defaultColWidth="9.00390625" defaultRowHeight="12.75"/>
  <cols>
    <col min="1" max="1" width="10.125" style="0" customWidth="1"/>
    <col min="2" max="2" width="8.625" style="0" customWidth="1"/>
    <col min="3" max="3" width="10.00390625" style="0" customWidth="1"/>
    <col min="4" max="4" width="9.00390625" style="0" customWidth="1"/>
    <col min="5" max="5" width="8.75390625" style="0" customWidth="1"/>
    <col min="7" max="7" width="6.75390625" style="0" customWidth="1"/>
    <col min="8" max="8" width="7.875" style="0" customWidth="1"/>
    <col min="9" max="9" width="10.75390625" style="0" customWidth="1"/>
  </cols>
  <sheetData>
    <row r="1" spans="1:16" ht="12.75">
      <c r="A1" s="1" t="s">
        <v>0</v>
      </c>
      <c r="I1" s="2"/>
      <c r="J1" s="1"/>
      <c r="K1" s="1"/>
      <c r="L1" s="1"/>
      <c r="M1" s="1"/>
      <c r="N1" s="1"/>
      <c r="O1" s="1"/>
      <c r="P1" s="1"/>
    </row>
    <row r="2" spans="1:16" ht="12.75">
      <c r="A2" s="1" t="s">
        <v>1</v>
      </c>
      <c r="I2" s="2"/>
      <c r="J2" s="1"/>
      <c r="K2" s="1"/>
      <c r="L2" s="1"/>
      <c r="M2" s="1"/>
      <c r="N2" s="1"/>
      <c r="O2" s="1"/>
      <c r="P2" s="1"/>
    </row>
    <row r="4" ht="13.5" thickBot="1"/>
    <row r="5" spans="1:9" ht="12.75">
      <c r="A5" s="44" t="s">
        <v>2</v>
      </c>
      <c r="B5" s="45" t="s">
        <v>3</v>
      </c>
      <c r="C5" s="46"/>
      <c r="D5" s="46"/>
      <c r="E5" s="46"/>
      <c r="F5" s="46"/>
      <c r="G5" s="46"/>
      <c r="H5" s="47"/>
      <c r="I5" s="3" t="s">
        <v>4</v>
      </c>
    </row>
    <row r="6" spans="1:9" ht="12.75">
      <c r="A6" s="37"/>
      <c r="B6" s="25" t="s">
        <v>5</v>
      </c>
      <c r="C6" s="25" t="s">
        <v>6</v>
      </c>
      <c r="D6" s="4" t="s">
        <v>7</v>
      </c>
      <c r="E6" s="5" t="s">
        <v>8</v>
      </c>
      <c r="F6" s="25" t="s">
        <v>9</v>
      </c>
      <c r="G6" s="61" t="s">
        <v>10</v>
      </c>
      <c r="H6" s="61" t="s">
        <v>11</v>
      </c>
      <c r="I6" s="6" t="s">
        <v>12</v>
      </c>
    </row>
    <row r="7" spans="1:9" ht="12.75">
      <c r="A7" s="37"/>
      <c r="B7" s="26"/>
      <c r="C7" s="26"/>
      <c r="D7" s="7" t="s">
        <v>6</v>
      </c>
      <c r="E7" s="5" t="s">
        <v>13</v>
      </c>
      <c r="F7" s="26"/>
      <c r="G7" s="62"/>
      <c r="H7" s="62"/>
      <c r="I7" s="8" t="s">
        <v>14</v>
      </c>
    </row>
    <row r="8" spans="1:11" ht="13.5" thickBot="1">
      <c r="A8" s="38"/>
      <c r="B8" s="27"/>
      <c r="C8" s="27"/>
      <c r="D8" s="9" t="s">
        <v>15</v>
      </c>
      <c r="E8" s="10" t="s">
        <v>16</v>
      </c>
      <c r="F8" s="27"/>
      <c r="G8" s="63"/>
      <c r="H8" s="63"/>
      <c r="I8" s="11" t="s">
        <v>17</v>
      </c>
      <c r="K8" s="12"/>
    </row>
    <row r="9" spans="1:9" ht="12.75">
      <c r="A9" s="52" t="s">
        <v>18</v>
      </c>
      <c r="B9" s="53"/>
      <c r="C9" s="53"/>
      <c r="D9" s="53"/>
      <c r="E9" s="53"/>
      <c r="F9" s="53"/>
      <c r="G9" s="53"/>
      <c r="H9" s="53"/>
      <c r="I9" s="54"/>
    </row>
    <row r="10" spans="1:9" ht="12.75">
      <c r="A10" s="55"/>
      <c r="B10" s="56"/>
      <c r="C10" s="56"/>
      <c r="D10" s="56"/>
      <c r="E10" s="56"/>
      <c r="F10" s="56"/>
      <c r="G10" s="56"/>
      <c r="H10" s="56"/>
      <c r="I10" s="57"/>
    </row>
    <row r="11" spans="1:9" ht="12.75">
      <c r="A11" s="58"/>
      <c r="B11" s="59"/>
      <c r="C11" s="59"/>
      <c r="D11" s="59"/>
      <c r="E11" s="59"/>
      <c r="F11" s="59"/>
      <c r="G11" s="59"/>
      <c r="H11" s="59"/>
      <c r="I11" s="60"/>
    </row>
    <row r="12" spans="1:9" ht="16.5" customHeight="1">
      <c r="A12" s="13" t="s">
        <v>19</v>
      </c>
      <c r="B12" s="14">
        <v>603925</v>
      </c>
      <c r="C12" s="15">
        <f>961349+736773</f>
        <v>1698122</v>
      </c>
      <c r="D12" s="14">
        <f>74030+135200+638305</f>
        <v>847535</v>
      </c>
      <c r="E12" s="15">
        <f>57404+43693</f>
        <v>101097</v>
      </c>
      <c r="F12" s="14">
        <f>368912+22789</f>
        <v>391701</v>
      </c>
      <c r="G12" s="15">
        <v>13930</v>
      </c>
      <c r="H12" s="14">
        <v>30747</v>
      </c>
      <c r="I12" s="16">
        <f aca="true" t="shared" si="0" ref="I12:I24">SUM(B12:H12)</f>
        <v>3687057</v>
      </c>
    </row>
    <row r="13" spans="1:9" ht="16.5" customHeight="1">
      <c r="A13" s="13" t="s">
        <v>20</v>
      </c>
      <c r="B13" s="17">
        <v>23904</v>
      </c>
      <c r="C13" s="15">
        <f>46056+35240</f>
        <v>81296</v>
      </c>
      <c r="D13" s="17">
        <f>3601+6302+32728</f>
        <v>42631</v>
      </c>
      <c r="E13" s="15">
        <f>3138+2313</f>
        <v>5451</v>
      </c>
      <c r="F13" s="17">
        <f>19537+1207</f>
        <v>20744</v>
      </c>
      <c r="G13" s="15">
        <v>288</v>
      </c>
      <c r="H13" s="17">
        <v>549</v>
      </c>
      <c r="I13" s="16">
        <f t="shared" si="0"/>
        <v>174863</v>
      </c>
    </row>
    <row r="14" spans="1:9" ht="16.5" customHeight="1">
      <c r="A14" s="13" t="s">
        <v>21</v>
      </c>
      <c r="B14" s="17">
        <v>636</v>
      </c>
      <c r="C14" s="15">
        <f>1493+962</f>
        <v>2455</v>
      </c>
      <c r="D14" s="17">
        <f>144+255+1236</f>
        <v>1635</v>
      </c>
      <c r="E14" s="15">
        <f>140+107</f>
        <v>247</v>
      </c>
      <c r="F14" s="17">
        <f>821+33</f>
        <v>854</v>
      </c>
      <c r="G14" s="15">
        <v>11</v>
      </c>
      <c r="H14" s="17">
        <v>26</v>
      </c>
      <c r="I14" s="16">
        <f t="shared" si="0"/>
        <v>5864</v>
      </c>
    </row>
    <row r="15" spans="1:9" ht="16.5" customHeight="1">
      <c r="A15" s="13" t="s">
        <v>22</v>
      </c>
      <c r="B15" s="17">
        <v>23879</v>
      </c>
      <c r="C15" s="15">
        <f>21971+15457</f>
        <v>37428</v>
      </c>
      <c r="D15" s="17">
        <f>1206+3397+11114</f>
        <v>15717</v>
      </c>
      <c r="E15" s="15">
        <f>859+915</f>
        <v>1774</v>
      </c>
      <c r="F15" s="17">
        <f>9663+583</f>
        <v>10246</v>
      </c>
      <c r="G15" s="15">
        <v>1031</v>
      </c>
      <c r="H15" s="17">
        <v>1112</v>
      </c>
      <c r="I15" s="16">
        <f t="shared" si="0"/>
        <v>91187</v>
      </c>
    </row>
    <row r="16" spans="1:9" ht="16.5" customHeight="1">
      <c r="A16" s="13" t="s">
        <v>23</v>
      </c>
      <c r="B16" s="17">
        <v>2971</v>
      </c>
      <c r="C16" s="15">
        <f>5975+2518</f>
        <v>8493</v>
      </c>
      <c r="D16" s="17">
        <f>407+826+3454</f>
        <v>4687</v>
      </c>
      <c r="E16" s="15">
        <f>329+221</f>
        <v>550</v>
      </c>
      <c r="F16" s="17">
        <f>2676+83</f>
        <v>2759</v>
      </c>
      <c r="G16" s="15">
        <v>65</v>
      </c>
      <c r="H16" s="17">
        <v>211</v>
      </c>
      <c r="I16" s="16">
        <f t="shared" si="0"/>
        <v>19736</v>
      </c>
    </row>
    <row r="17" spans="1:9" ht="16.5" customHeight="1">
      <c r="A17" s="13" t="s">
        <v>24</v>
      </c>
      <c r="B17" s="17">
        <v>3823</v>
      </c>
      <c r="C17" s="15">
        <f>5163+3537</f>
        <v>8700</v>
      </c>
      <c r="D17" s="17">
        <f>248+417+2059</f>
        <v>2724</v>
      </c>
      <c r="E17" s="15">
        <f>251+291</f>
        <v>542</v>
      </c>
      <c r="F17" s="17">
        <f>1351+74</f>
        <v>1425</v>
      </c>
      <c r="G17" s="15">
        <v>90</v>
      </c>
      <c r="H17" s="17">
        <v>200</v>
      </c>
      <c r="I17" s="16">
        <f t="shared" si="0"/>
        <v>17504</v>
      </c>
    </row>
    <row r="18" spans="1:9" ht="16.5" customHeight="1">
      <c r="A18" s="13" t="s">
        <v>25</v>
      </c>
      <c r="B18" s="17">
        <v>2708</v>
      </c>
      <c r="C18" s="15">
        <f>530+374</f>
        <v>904</v>
      </c>
      <c r="D18" s="17">
        <f>32+46+107</f>
        <v>185</v>
      </c>
      <c r="E18" s="15">
        <f>13+15</f>
        <v>28</v>
      </c>
      <c r="F18" s="17">
        <f>79+7</f>
        <v>86</v>
      </c>
      <c r="G18" s="15">
        <v>299</v>
      </c>
      <c r="H18" s="17">
        <v>100</v>
      </c>
      <c r="I18" s="16">
        <f t="shared" si="0"/>
        <v>4310</v>
      </c>
    </row>
    <row r="19" spans="1:9" ht="16.5" customHeight="1">
      <c r="A19" s="13" t="s">
        <v>26</v>
      </c>
      <c r="B19" s="17">
        <v>2341</v>
      </c>
      <c r="C19" s="15">
        <f>1873+1201</f>
        <v>3074</v>
      </c>
      <c r="D19" s="17">
        <f>88+264+631</f>
        <v>983</v>
      </c>
      <c r="E19" s="15">
        <f>63+71</f>
        <v>134</v>
      </c>
      <c r="F19" s="17">
        <f>703+38</f>
        <v>741</v>
      </c>
      <c r="G19" s="15">
        <v>92</v>
      </c>
      <c r="H19" s="17">
        <v>74</v>
      </c>
      <c r="I19" s="16">
        <f t="shared" si="0"/>
        <v>7439</v>
      </c>
    </row>
    <row r="20" spans="1:9" ht="16.5" customHeight="1">
      <c r="A20" s="13" t="s">
        <v>27</v>
      </c>
      <c r="B20" s="17">
        <v>1481</v>
      </c>
      <c r="C20" s="15">
        <f>1379+1400</f>
        <v>2779</v>
      </c>
      <c r="D20" s="17">
        <f>476+624+1437</f>
        <v>2537</v>
      </c>
      <c r="E20" s="15">
        <f>101+340</f>
        <v>441</v>
      </c>
      <c r="F20" s="17">
        <f>1078+44</f>
        <v>1122</v>
      </c>
      <c r="G20" s="15">
        <v>37</v>
      </c>
      <c r="H20" s="17">
        <v>470</v>
      </c>
      <c r="I20" s="16">
        <f t="shared" si="0"/>
        <v>8867</v>
      </c>
    </row>
    <row r="21" spans="1:9" ht="16.5" customHeight="1">
      <c r="A21" s="13" t="s">
        <v>28</v>
      </c>
      <c r="B21" s="17">
        <v>491</v>
      </c>
      <c r="C21" s="15">
        <f>125+189</f>
        <v>314</v>
      </c>
      <c r="D21" s="17">
        <f>96+301+439</f>
        <v>836</v>
      </c>
      <c r="E21" s="15">
        <f>36+293</f>
        <v>329</v>
      </c>
      <c r="F21" s="17">
        <f>1513+128</f>
        <v>1641</v>
      </c>
      <c r="G21" s="15">
        <v>7</v>
      </c>
      <c r="H21" s="17">
        <v>151</v>
      </c>
      <c r="I21" s="16">
        <f t="shared" si="0"/>
        <v>3769</v>
      </c>
    </row>
    <row r="22" spans="1:9" ht="16.5" customHeight="1">
      <c r="A22" s="13" t="s">
        <v>29</v>
      </c>
      <c r="B22" s="17">
        <v>2628</v>
      </c>
      <c r="C22" s="15">
        <f>842+1207</f>
        <v>2049</v>
      </c>
      <c r="D22" s="17">
        <f>469+1471+740</f>
        <v>2680</v>
      </c>
      <c r="E22" s="15">
        <f>146+160</f>
        <v>306</v>
      </c>
      <c r="F22" s="17">
        <f>612+42</f>
        <v>654</v>
      </c>
      <c r="G22" s="15">
        <v>51</v>
      </c>
      <c r="H22" s="17">
        <v>646</v>
      </c>
      <c r="I22" s="16">
        <f t="shared" si="0"/>
        <v>9014</v>
      </c>
    </row>
    <row r="23" spans="1:9" ht="16.5" customHeight="1">
      <c r="A23" s="13" t="s">
        <v>30</v>
      </c>
      <c r="B23" s="17">
        <v>3579</v>
      </c>
      <c r="C23" s="15">
        <f>3516+3102</f>
        <v>6618</v>
      </c>
      <c r="D23" s="17">
        <f>811+2288+4517</f>
        <v>7616</v>
      </c>
      <c r="E23" s="15">
        <f>491+1009</f>
        <v>1500</v>
      </c>
      <c r="F23" s="17">
        <f>7225+668</f>
        <v>7893</v>
      </c>
      <c r="G23" s="15">
        <v>104</v>
      </c>
      <c r="H23" s="17">
        <v>802</v>
      </c>
      <c r="I23" s="16">
        <f t="shared" si="0"/>
        <v>28112</v>
      </c>
    </row>
    <row r="24" spans="1:9" ht="16.5" customHeight="1">
      <c r="A24" s="13" t="s">
        <v>31</v>
      </c>
      <c r="B24" s="17">
        <v>10711</v>
      </c>
      <c r="C24" s="15">
        <f>12007+9144</f>
        <v>21151</v>
      </c>
      <c r="D24" s="17">
        <f>953+2008+7066</f>
        <v>10027</v>
      </c>
      <c r="E24" s="15">
        <f>674+586</f>
        <v>1260</v>
      </c>
      <c r="F24" s="17">
        <f>5159+355</f>
        <v>5514</v>
      </c>
      <c r="G24" s="15">
        <v>478</v>
      </c>
      <c r="H24" s="17">
        <v>26204</v>
      </c>
      <c r="I24" s="16">
        <f t="shared" si="0"/>
        <v>75345</v>
      </c>
    </row>
    <row r="25" spans="1:9" ht="11.25" customHeight="1">
      <c r="A25" s="50" t="s">
        <v>32</v>
      </c>
      <c r="B25" s="48">
        <f aca="true" t="shared" si="1" ref="B25:I25">SUM(B12:B24)</f>
        <v>683077</v>
      </c>
      <c r="C25" s="48">
        <f t="shared" si="1"/>
        <v>1873383</v>
      </c>
      <c r="D25" s="48">
        <f t="shared" si="1"/>
        <v>939793</v>
      </c>
      <c r="E25" s="48">
        <f t="shared" si="1"/>
        <v>113659</v>
      </c>
      <c r="F25" s="48">
        <f t="shared" si="1"/>
        <v>445380</v>
      </c>
      <c r="G25" s="48">
        <f t="shared" si="1"/>
        <v>16483</v>
      </c>
      <c r="H25" s="48">
        <f t="shared" si="1"/>
        <v>61292</v>
      </c>
      <c r="I25" s="65">
        <f t="shared" si="1"/>
        <v>4133067</v>
      </c>
    </row>
    <row r="26" spans="1:9" ht="7.5" customHeight="1">
      <c r="A26" s="51"/>
      <c r="B26" s="49"/>
      <c r="C26" s="49"/>
      <c r="D26" s="49"/>
      <c r="E26" s="49"/>
      <c r="F26" s="49"/>
      <c r="G26" s="49"/>
      <c r="H26" s="49"/>
      <c r="I26" s="71"/>
    </row>
    <row r="27" spans="1:9" ht="12.75">
      <c r="A27" s="28" t="s">
        <v>33</v>
      </c>
      <c r="B27" s="29"/>
      <c r="C27" s="29"/>
      <c r="D27" s="29"/>
      <c r="E27" s="29"/>
      <c r="F27" s="29"/>
      <c r="G27" s="29"/>
      <c r="H27" s="29"/>
      <c r="I27" s="30"/>
    </row>
    <row r="28" spans="1:9" ht="12.75">
      <c r="A28" s="31"/>
      <c r="B28" s="32"/>
      <c r="C28" s="32"/>
      <c r="D28" s="32"/>
      <c r="E28" s="32"/>
      <c r="F28" s="32"/>
      <c r="G28" s="32"/>
      <c r="H28" s="32"/>
      <c r="I28" s="33"/>
    </row>
    <row r="29" spans="1:9" ht="12.75">
      <c r="A29" s="34"/>
      <c r="B29" s="35"/>
      <c r="C29" s="35"/>
      <c r="D29" s="35"/>
      <c r="E29" s="35"/>
      <c r="F29" s="35"/>
      <c r="G29" s="35"/>
      <c r="H29" s="35"/>
      <c r="I29" s="36"/>
    </row>
    <row r="30" spans="1:9" ht="16.5" customHeight="1">
      <c r="A30" s="13" t="s">
        <v>19</v>
      </c>
      <c r="B30" s="14">
        <v>1147815</v>
      </c>
      <c r="C30" s="15">
        <f>639830+633884</f>
        <v>1273714</v>
      </c>
      <c r="D30" s="14">
        <f>38176+254367+810935</f>
        <v>1103478</v>
      </c>
      <c r="E30" s="15">
        <f>115351+52552</f>
        <v>167903</v>
      </c>
      <c r="F30" s="14">
        <f>279962+5929</f>
        <v>285891</v>
      </c>
      <c r="G30" s="15">
        <v>17075</v>
      </c>
      <c r="H30" s="14">
        <v>28909</v>
      </c>
      <c r="I30" s="16">
        <f aca="true" t="shared" si="2" ref="I30:I42">SUM(B30:H30)</f>
        <v>4024785</v>
      </c>
    </row>
    <row r="31" spans="1:9" ht="16.5" customHeight="1">
      <c r="A31" s="13" t="s">
        <v>20</v>
      </c>
      <c r="B31" s="17">
        <v>46182</v>
      </c>
      <c r="C31" s="15">
        <f>25417+22471</f>
        <v>47888</v>
      </c>
      <c r="D31" s="17">
        <f>1490+8408+30007</f>
        <v>39905</v>
      </c>
      <c r="E31" s="15">
        <f>4189+1869</f>
        <v>6058</v>
      </c>
      <c r="F31" s="17">
        <f>8894+175</f>
        <v>9069</v>
      </c>
      <c r="G31" s="15">
        <v>296</v>
      </c>
      <c r="H31" s="17">
        <v>496</v>
      </c>
      <c r="I31" s="16">
        <f t="shared" si="2"/>
        <v>149894</v>
      </c>
    </row>
    <row r="32" spans="1:9" ht="16.5" customHeight="1">
      <c r="A32" s="13" t="s">
        <v>21</v>
      </c>
      <c r="B32" s="17">
        <v>1212</v>
      </c>
      <c r="C32" s="15">
        <f>623+477</f>
        <v>1100</v>
      </c>
      <c r="D32" s="17">
        <f>28+251+628</f>
        <v>907</v>
      </c>
      <c r="E32" s="15">
        <f>90+48</f>
        <v>138</v>
      </c>
      <c r="F32" s="17">
        <f>271+4</f>
        <v>275</v>
      </c>
      <c r="G32" s="15">
        <v>19</v>
      </c>
      <c r="H32" s="17">
        <v>14</v>
      </c>
      <c r="I32" s="16">
        <f t="shared" si="2"/>
        <v>3665</v>
      </c>
    </row>
    <row r="33" spans="1:9" ht="16.5" customHeight="1">
      <c r="A33" s="13" t="s">
        <v>22</v>
      </c>
      <c r="B33" s="17">
        <v>42898</v>
      </c>
      <c r="C33" s="15">
        <f>11707+9390</f>
        <v>21097</v>
      </c>
      <c r="D33" s="17">
        <f>657+4840+12470</f>
        <v>17967</v>
      </c>
      <c r="E33" s="15">
        <f>1867+821</f>
        <v>2688</v>
      </c>
      <c r="F33" s="17">
        <f>7053+172</f>
        <v>7225</v>
      </c>
      <c r="G33" s="15">
        <v>2231</v>
      </c>
      <c r="H33" s="17">
        <v>948</v>
      </c>
      <c r="I33" s="16">
        <f t="shared" si="2"/>
        <v>95054</v>
      </c>
    </row>
    <row r="34" spans="1:9" ht="16.5" customHeight="1">
      <c r="A34" s="13" t="s">
        <v>23</v>
      </c>
      <c r="B34" s="17">
        <v>11054</v>
      </c>
      <c r="C34" s="15">
        <f>5254+3043</f>
        <v>8297</v>
      </c>
      <c r="D34" s="17">
        <f>364+1759+4138</f>
        <v>6261</v>
      </c>
      <c r="E34" s="15">
        <f>640+293</f>
        <v>933</v>
      </c>
      <c r="F34" s="17">
        <f>1719+25</f>
        <v>1744</v>
      </c>
      <c r="G34" s="15">
        <v>191</v>
      </c>
      <c r="H34" s="17">
        <v>140</v>
      </c>
      <c r="I34" s="16">
        <f t="shared" si="2"/>
        <v>28620</v>
      </c>
    </row>
    <row r="35" spans="1:9" ht="16.5" customHeight="1">
      <c r="A35" s="13" t="s">
        <v>24</v>
      </c>
      <c r="B35" s="17">
        <v>10246</v>
      </c>
      <c r="C35" s="15">
        <f>3228+2365</f>
        <v>5593</v>
      </c>
      <c r="D35" s="17">
        <f>111+656+1741</f>
        <v>2508</v>
      </c>
      <c r="E35" s="15">
        <f>291+178</f>
        <v>469</v>
      </c>
      <c r="F35" s="17">
        <f>671+24</f>
        <v>695</v>
      </c>
      <c r="G35" s="15">
        <v>191</v>
      </c>
      <c r="H35" s="17">
        <v>196</v>
      </c>
      <c r="I35" s="16">
        <f t="shared" si="2"/>
        <v>19898</v>
      </c>
    </row>
    <row r="36" spans="1:9" ht="16.5" customHeight="1">
      <c r="A36" s="13" t="s">
        <v>25</v>
      </c>
      <c r="B36" s="17">
        <v>2635</v>
      </c>
      <c r="C36" s="15">
        <f>290+216</f>
        <v>506</v>
      </c>
      <c r="D36" s="17">
        <f>10+36+120</f>
        <v>166</v>
      </c>
      <c r="E36" s="15">
        <f>18+8</f>
        <v>26</v>
      </c>
      <c r="F36" s="17">
        <f>41+2</f>
        <v>43</v>
      </c>
      <c r="G36" s="15">
        <v>375</v>
      </c>
      <c r="H36" s="17">
        <v>106</v>
      </c>
      <c r="I36" s="16">
        <f t="shared" si="2"/>
        <v>3857</v>
      </c>
    </row>
    <row r="37" spans="1:9" ht="16.5" customHeight="1">
      <c r="A37" s="13" t="s">
        <v>26</v>
      </c>
      <c r="B37" s="17">
        <v>3564</v>
      </c>
      <c r="C37" s="15">
        <f>750+593</f>
        <v>1343</v>
      </c>
      <c r="D37" s="17">
        <f>56+393+562</f>
        <v>1011</v>
      </c>
      <c r="E37" s="15">
        <f>120+45</f>
        <v>165</v>
      </c>
      <c r="F37" s="17">
        <f>374+5</f>
        <v>379</v>
      </c>
      <c r="G37" s="15">
        <v>162</v>
      </c>
      <c r="H37" s="17">
        <v>66</v>
      </c>
      <c r="I37" s="16">
        <f t="shared" si="2"/>
        <v>6690</v>
      </c>
    </row>
    <row r="38" spans="1:9" ht="16.5" customHeight="1">
      <c r="A38" s="13" t="s">
        <v>27</v>
      </c>
      <c r="B38" s="17">
        <v>2522</v>
      </c>
      <c r="C38" s="15">
        <f>1292+1363</f>
        <v>2655</v>
      </c>
      <c r="D38" s="17">
        <f>524+902+2052</f>
        <v>3478</v>
      </c>
      <c r="E38" s="15">
        <f>149+486</f>
        <v>635</v>
      </c>
      <c r="F38" s="17">
        <f>1339+28</f>
        <v>1367</v>
      </c>
      <c r="G38" s="15">
        <v>90</v>
      </c>
      <c r="H38" s="17">
        <v>393</v>
      </c>
      <c r="I38" s="16">
        <f t="shared" si="2"/>
        <v>11140</v>
      </c>
    </row>
    <row r="39" spans="1:9" ht="16.5" customHeight="1">
      <c r="A39" s="13" t="s">
        <v>28</v>
      </c>
      <c r="B39" s="17">
        <v>890</v>
      </c>
      <c r="C39" s="15">
        <f>265+357</f>
        <v>622</v>
      </c>
      <c r="D39" s="17">
        <f>155+598+1100</f>
        <v>1853</v>
      </c>
      <c r="E39" s="15">
        <f>85+476</f>
        <v>561</v>
      </c>
      <c r="F39" s="17">
        <f>2576+114</f>
        <v>2690</v>
      </c>
      <c r="G39" s="15">
        <v>35</v>
      </c>
      <c r="H39" s="17">
        <v>208</v>
      </c>
      <c r="I39" s="16">
        <f t="shared" si="2"/>
        <v>6859</v>
      </c>
    </row>
    <row r="40" spans="1:9" ht="16.5" customHeight="1">
      <c r="A40" s="13" t="s">
        <v>29</v>
      </c>
      <c r="B40" s="17">
        <v>1825</v>
      </c>
      <c r="C40" s="15">
        <f>417+605</f>
        <v>1022</v>
      </c>
      <c r="D40" s="17">
        <f>259+770+379</f>
        <v>1408</v>
      </c>
      <c r="E40" s="15">
        <f>83+84</f>
        <v>167</v>
      </c>
      <c r="F40" s="17">
        <f>253+16</f>
        <v>269</v>
      </c>
      <c r="G40" s="15">
        <v>48</v>
      </c>
      <c r="H40" s="17">
        <v>405</v>
      </c>
      <c r="I40" s="16">
        <f t="shared" si="2"/>
        <v>5144</v>
      </c>
    </row>
    <row r="41" spans="1:9" ht="16.5" customHeight="1">
      <c r="A41" s="13" t="s">
        <v>30</v>
      </c>
      <c r="B41" s="17">
        <v>4380</v>
      </c>
      <c r="C41" s="15">
        <f>1761+1759</f>
        <v>3520</v>
      </c>
      <c r="D41" s="17">
        <f>389+1763+2782</f>
        <v>4934</v>
      </c>
      <c r="E41" s="15">
        <f>444+703</f>
        <v>1147</v>
      </c>
      <c r="F41" s="17">
        <f>3701+221</f>
        <v>3922</v>
      </c>
      <c r="G41" s="15">
        <v>167</v>
      </c>
      <c r="H41" s="17">
        <v>461</v>
      </c>
      <c r="I41" s="16">
        <f t="shared" si="2"/>
        <v>18531</v>
      </c>
    </row>
    <row r="42" spans="1:9" ht="16.5" customHeight="1">
      <c r="A42" s="13" t="s">
        <v>31</v>
      </c>
      <c r="B42" s="17">
        <v>16809</v>
      </c>
      <c r="C42" s="15">
        <f>7595+7065</f>
        <v>14660</v>
      </c>
      <c r="D42" s="17">
        <f>501+2840+7907</f>
        <v>11248</v>
      </c>
      <c r="E42" s="15">
        <f>1142+563</f>
        <v>1705</v>
      </c>
      <c r="F42" s="17">
        <f>3422+88</f>
        <v>3510</v>
      </c>
      <c r="G42" s="15">
        <v>569</v>
      </c>
      <c r="H42" s="17">
        <v>19493</v>
      </c>
      <c r="I42" s="16">
        <f t="shared" si="2"/>
        <v>67994</v>
      </c>
    </row>
    <row r="43" spans="1:9" ht="11.25" customHeight="1">
      <c r="A43" s="50" t="s">
        <v>32</v>
      </c>
      <c r="B43" s="48">
        <f aca="true" t="shared" si="3" ref="B43:I43">SUM(B30:B42)</f>
        <v>1292032</v>
      </c>
      <c r="C43" s="48">
        <f t="shared" si="3"/>
        <v>1382017</v>
      </c>
      <c r="D43" s="48">
        <f t="shared" si="3"/>
        <v>1195124</v>
      </c>
      <c r="E43" s="48">
        <f t="shared" si="3"/>
        <v>182595</v>
      </c>
      <c r="F43" s="48">
        <f t="shared" si="3"/>
        <v>317079</v>
      </c>
      <c r="G43" s="48">
        <f t="shared" si="3"/>
        <v>21449</v>
      </c>
      <c r="H43" s="48">
        <f t="shared" si="3"/>
        <v>51835</v>
      </c>
      <c r="I43" s="65">
        <f t="shared" si="3"/>
        <v>4442131</v>
      </c>
    </row>
    <row r="44" spans="1:9" ht="7.5" customHeight="1" thickBot="1">
      <c r="A44" s="67"/>
      <c r="B44" s="64"/>
      <c r="C44" s="64"/>
      <c r="D44" s="64"/>
      <c r="E44" s="64"/>
      <c r="F44" s="64"/>
      <c r="G44" s="64"/>
      <c r="H44" s="64"/>
      <c r="I44" s="66"/>
    </row>
    <row r="45" spans="1:9" ht="7.5" customHeight="1">
      <c r="A45" s="18"/>
      <c r="B45" s="19"/>
      <c r="C45" s="19"/>
      <c r="D45" s="19"/>
      <c r="E45" s="19"/>
      <c r="F45" s="19"/>
      <c r="G45" s="19"/>
      <c r="H45" s="19"/>
      <c r="I45" s="19"/>
    </row>
    <row r="46" spans="9:10" ht="13.5" customHeight="1" thickBot="1">
      <c r="I46" s="20" t="s">
        <v>34</v>
      </c>
      <c r="J46" s="1"/>
    </row>
    <row r="47" spans="1:10" ht="13.5" customHeight="1">
      <c r="A47" s="44" t="s">
        <v>2</v>
      </c>
      <c r="B47" s="45" t="s">
        <v>3</v>
      </c>
      <c r="C47" s="46"/>
      <c r="D47" s="46"/>
      <c r="E47" s="46"/>
      <c r="F47" s="46"/>
      <c r="G47" s="46"/>
      <c r="H47" s="47"/>
      <c r="I47" s="3" t="s">
        <v>4</v>
      </c>
      <c r="J47" s="1"/>
    </row>
    <row r="48" spans="1:10" ht="13.5" customHeight="1">
      <c r="A48" s="37"/>
      <c r="B48" s="25" t="s">
        <v>5</v>
      </c>
      <c r="C48" s="25" t="s">
        <v>6</v>
      </c>
      <c r="D48" s="4" t="s">
        <v>7</v>
      </c>
      <c r="E48" s="5" t="s">
        <v>8</v>
      </c>
      <c r="F48" s="25" t="s">
        <v>9</v>
      </c>
      <c r="G48" s="61" t="s">
        <v>10</v>
      </c>
      <c r="H48" s="61" t="s">
        <v>11</v>
      </c>
      <c r="I48" s="6" t="s">
        <v>12</v>
      </c>
      <c r="J48" s="1"/>
    </row>
    <row r="49" spans="1:9" ht="12.75">
      <c r="A49" s="37"/>
      <c r="B49" s="26"/>
      <c r="C49" s="26"/>
      <c r="D49" s="7" t="s">
        <v>6</v>
      </c>
      <c r="E49" s="5" t="s">
        <v>13</v>
      </c>
      <c r="F49" s="26"/>
      <c r="G49" s="62"/>
      <c r="H49" s="62"/>
      <c r="I49" s="8" t="s">
        <v>14</v>
      </c>
    </row>
    <row r="50" spans="1:9" ht="13.5" thickBot="1">
      <c r="A50" s="38"/>
      <c r="B50" s="27"/>
      <c r="C50" s="27"/>
      <c r="D50" s="9" t="s">
        <v>15</v>
      </c>
      <c r="E50" s="10" t="s">
        <v>16</v>
      </c>
      <c r="F50" s="27"/>
      <c r="G50" s="63"/>
      <c r="H50" s="63"/>
      <c r="I50" s="11" t="s">
        <v>17</v>
      </c>
    </row>
    <row r="51" spans="1:9" ht="12.75">
      <c r="A51" s="68" t="s">
        <v>35</v>
      </c>
      <c r="B51" s="69"/>
      <c r="C51" s="69"/>
      <c r="D51" s="69"/>
      <c r="E51" s="69"/>
      <c r="F51" s="69"/>
      <c r="G51" s="69"/>
      <c r="H51" s="69"/>
      <c r="I51" s="70"/>
    </row>
    <row r="52" spans="1:9" ht="12.75">
      <c r="A52" s="31"/>
      <c r="B52" s="32"/>
      <c r="C52" s="32"/>
      <c r="D52" s="32"/>
      <c r="E52" s="32"/>
      <c r="F52" s="32"/>
      <c r="G52" s="32"/>
      <c r="H52" s="32"/>
      <c r="I52" s="33"/>
    </row>
    <row r="53" spans="1:9" ht="12.75">
      <c r="A53" s="34"/>
      <c r="B53" s="35"/>
      <c r="C53" s="35"/>
      <c r="D53" s="35"/>
      <c r="E53" s="35"/>
      <c r="F53" s="35"/>
      <c r="G53" s="35"/>
      <c r="H53" s="35"/>
      <c r="I53" s="36"/>
    </row>
    <row r="54" spans="1:9" ht="12.75">
      <c r="A54" s="21" t="s">
        <v>19</v>
      </c>
      <c r="B54" s="14">
        <f>+B12+B30</f>
        <v>1751740</v>
      </c>
      <c r="C54" s="15">
        <f>+C12+C30</f>
        <v>2971836</v>
      </c>
      <c r="D54" s="14">
        <f>+D12+D30</f>
        <v>1951013</v>
      </c>
      <c r="E54" s="15">
        <f>+E12+E30</f>
        <v>269000</v>
      </c>
      <c r="F54" s="14">
        <f>+F12+F30</f>
        <v>677592</v>
      </c>
      <c r="G54" s="15">
        <f aca="true" t="shared" si="4" ref="G54:H66">+G30+G12</f>
        <v>31005</v>
      </c>
      <c r="H54" s="14">
        <f t="shared" si="4"/>
        <v>59656</v>
      </c>
      <c r="I54" s="16">
        <f aca="true" t="shared" si="5" ref="I54:I67">SUM(B54:H54)</f>
        <v>7711842</v>
      </c>
    </row>
    <row r="55" spans="1:9" ht="12.75">
      <c r="A55" s="21" t="s">
        <v>20</v>
      </c>
      <c r="B55" s="17">
        <f aca="true" t="shared" si="6" ref="B55:F61">+B31+B13</f>
        <v>70086</v>
      </c>
      <c r="C55" s="15">
        <f t="shared" si="6"/>
        <v>129184</v>
      </c>
      <c r="D55" s="17">
        <f t="shared" si="6"/>
        <v>82536</v>
      </c>
      <c r="E55" s="15">
        <f t="shared" si="6"/>
        <v>11509</v>
      </c>
      <c r="F55" s="17">
        <f t="shared" si="6"/>
        <v>29813</v>
      </c>
      <c r="G55" s="15">
        <f t="shared" si="4"/>
        <v>584</v>
      </c>
      <c r="H55" s="17">
        <f t="shared" si="4"/>
        <v>1045</v>
      </c>
      <c r="I55" s="16">
        <f t="shared" si="5"/>
        <v>324757</v>
      </c>
    </row>
    <row r="56" spans="1:9" ht="12.75">
      <c r="A56" s="21" t="s">
        <v>21</v>
      </c>
      <c r="B56" s="17">
        <f t="shared" si="6"/>
        <v>1848</v>
      </c>
      <c r="C56" s="15">
        <f t="shared" si="6"/>
        <v>3555</v>
      </c>
      <c r="D56" s="17">
        <f t="shared" si="6"/>
        <v>2542</v>
      </c>
      <c r="E56" s="15">
        <f t="shared" si="6"/>
        <v>385</v>
      </c>
      <c r="F56" s="17">
        <f t="shared" si="6"/>
        <v>1129</v>
      </c>
      <c r="G56" s="15">
        <f t="shared" si="4"/>
        <v>30</v>
      </c>
      <c r="H56" s="17">
        <f t="shared" si="4"/>
        <v>40</v>
      </c>
      <c r="I56" s="16">
        <f t="shared" si="5"/>
        <v>9529</v>
      </c>
    </row>
    <row r="57" spans="1:9" ht="16.5" customHeight="1">
      <c r="A57" s="21" t="s">
        <v>22</v>
      </c>
      <c r="B57" s="17">
        <f t="shared" si="6"/>
        <v>66777</v>
      </c>
      <c r="C57" s="15">
        <f t="shared" si="6"/>
        <v>58525</v>
      </c>
      <c r="D57" s="17">
        <f t="shared" si="6"/>
        <v>33684</v>
      </c>
      <c r="E57" s="15">
        <f t="shared" si="6"/>
        <v>4462</v>
      </c>
      <c r="F57" s="17">
        <f t="shared" si="6"/>
        <v>17471</v>
      </c>
      <c r="G57" s="15">
        <f t="shared" si="4"/>
        <v>3262</v>
      </c>
      <c r="H57" s="17">
        <f t="shared" si="4"/>
        <v>2060</v>
      </c>
      <c r="I57" s="16">
        <f t="shared" si="5"/>
        <v>186241</v>
      </c>
    </row>
    <row r="58" spans="1:9" ht="16.5" customHeight="1">
      <c r="A58" s="21" t="s">
        <v>23</v>
      </c>
      <c r="B58" s="17">
        <f t="shared" si="6"/>
        <v>14025</v>
      </c>
      <c r="C58" s="15">
        <f t="shared" si="6"/>
        <v>16790</v>
      </c>
      <c r="D58" s="17">
        <f t="shared" si="6"/>
        <v>10948</v>
      </c>
      <c r="E58" s="15">
        <f t="shared" si="6"/>
        <v>1483</v>
      </c>
      <c r="F58" s="17">
        <f t="shared" si="6"/>
        <v>4503</v>
      </c>
      <c r="G58" s="15">
        <f t="shared" si="4"/>
        <v>256</v>
      </c>
      <c r="H58" s="17">
        <f t="shared" si="4"/>
        <v>351</v>
      </c>
      <c r="I58" s="16">
        <f t="shared" si="5"/>
        <v>48356</v>
      </c>
    </row>
    <row r="59" spans="1:9" ht="16.5" customHeight="1">
      <c r="A59" s="21" t="s">
        <v>24</v>
      </c>
      <c r="B59" s="17">
        <f t="shared" si="6"/>
        <v>14069</v>
      </c>
      <c r="C59" s="15">
        <f t="shared" si="6"/>
        <v>14293</v>
      </c>
      <c r="D59" s="17">
        <f t="shared" si="6"/>
        <v>5232</v>
      </c>
      <c r="E59" s="15">
        <f t="shared" si="6"/>
        <v>1011</v>
      </c>
      <c r="F59" s="17">
        <f t="shared" si="6"/>
        <v>2120</v>
      </c>
      <c r="G59" s="15">
        <f t="shared" si="4"/>
        <v>281</v>
      </c>
      <c r="H59" s="17">
        <f t="shared" si="4"/>
        <v>396</v>
      </c>
      <c r="I59" s="16">
        <f t="shared" si="5"/>
        <v>37402</v>
      </c>
    </row>
    <row r="60" spans="1:9" ht="16.5" customHeight="1">
      <c r="A60" s="21" t="s">
        <v>25</v>
      </c>
      <c r="B60" s="17">
        <f t="shared" si="6"/>
        <v>5343</v>
      </c>
      <c r="C60" s="15">
        <f t="shared" si="6"/>
        <v>1410</v>
      </c>
      <c r="D60" s="17">
        <f t="shared" si="6"/>
        <v>351</v>
      </c>
      <c r="E60" s="15">
        <f t="shared" si="6"/>
        <v>54</v>
      </c>
      <c r="F60" s="17">
        <f t="shared" si="6"/>
        <v>129</v>
      </c>
      <c r="G60" s="15">
        <f t="shared" si="4"/>
        <v>674</v>
      </c>
      <c r="H60" s="17">
        <f t="shared" si="4"/>
        <v>206</v>
      </c>
      <c r="I60" s="16">
        <f t="shared" si="5"/>
        <v>8167</v>
      </c>
    </row>
    <row r="61" spans="1:9" ht="16.5" customHeight="1">
      <c r="A61" s="21" t="s">
        <v>26</v>
      </c>
      <c r="B61" s="17">
        <f t="shared" si="6"/>
        <v>5905</v>
      </c>
      <c r="C61" s="15">
        <f t="shared" si="6"/>
        <v>4417</v>
      </c>
      <c r="D61" s="17">
        <f t="shared" si="6"/>
        <v>1994</v>
      </c>
      <c r="E61" s="15">
        <f t="shared" si="6"/>
        <v>299</v>
      </c>
      <c r="F61" s="17">
        <f t="shared" si="6"/>
        <v>1120</v>
      </c>
      <c r="G61" s="15">
        <f t="shared" si="4"/>
        <v>254</v>
      </c>
      <c r="H61" s="17">
        <f t="shared" si="4"/>
        <v>140</v>
      </c>
      <c r="I61" s="16">
        <f t="shared" si="5"/>
        <v>14129</v>
      </c>
    </row>
    <row r="62" spans="1:9" ht="16.5" customHeight="1">
      <c r="A62" s="21" t="s">
        <v>27</v>
      </c>
      <c r="B62" s="17">
        <f aca="true" t="shared" si="7" ref="B62:C66">+B38+B20</f>
        <v>4003</v>
      </c>
      <c r="C62" s="15">
        <f t="shared" si="7"/>
        <v>5434</v>
      </c>
      <c r="D62" s="17">
        <v>6015</v>
      </c>
      <c r="E62" s="15">
        <f>250+826</f>
        <v>1076</v>
      </c>
      <c r="F62" s="17">
        <f>+F38+F20</f>
        <v>2489</v>
      </c>
      <c r="G62" s="15">
        <f t="shared" si="4"/>
        <v>127</v>
      </c>
      <c r="H62" s="17">
        <f t="shared" si="4"/>
        <v>863</v>
      </c>
      <c r="I62" s="16">
        <f t="shared" si="5"/>
        <v>20007</v>
      </c>
    </row>
    <row r="63" spans="1:9" ht="16.5" customHeight="1">
      <c r="A63" s="21" t="s">
        <v>28</v>
      </c>
      <c r="B63" s="17">
        <f t="shared" si="7"/>
        <v>1381</v>
      </c>
      <c r="C63" s="15">
        <f t="shared" si="7"/>
        <v>936</v>
      </c>
      <c r="D63" s="17">
        <f aca="true" t="shared" si="8" ref="D63:E66">+D39+D21</f>
        <v>2689</v>
      </c>
      <c r="E63" s="15">
        <f t="shared" si="8"/>
        <v>890</v>
      </c>
      <c r="F63" s="17">
        <f>+F39+F21</f>
        <v>4331</v>
      </c>
      <c r="G63" s="15">
        <f t="shared" si="4"/>
        <v>42</v>
      </c>
      <c r="H63" s="17">
        <f t="shared" si="4"/>
        <v>359</v>
      </c>
      <c r="I63" s="16">
        <f t="shared" si="5"/>
        <v>10628</v>
      </c>
    </row>
    <row r="64" spans="1:9" ht="16.5" customHeight="1">
      <c r="A64" s="21" t="s">
        <v>29</v>
      </c>
      <c r="B64" s="17">
        <f t="shared" si="7"/>
        <v>4453</v>
      </c>
      <c r="C64" s="15">
        <f t="shared" si="7"/>
        <v>3071</v>
      </c>
      <c r="D64" s="17">
        <f t="shared" si="8"/>
        <v>4088</v>
      </c>
      <c r="E64" s="15">
        <f t="shared" si="8"/>
        <v>473</v>
      </c>
      <c r="F64" s="17">
        <f>+F40+F22</f>
        <v>923</v>
      </c>
      <c r="G64" s="15">
        <f t="shared" si="4"/>
        <v>99</v>
      </c>
      <c r="H64" s="17">
        <f t="shared" si="4"/>
        <v>1051</v>
      </c>
      <c r="I64" s="16">
        <f t="shared" si="5"/>
        <v>14158</v>
      </c>
    </row>
    <row r="65" spans="1:9" ht="16.5" customHeight="1">
      <c r="A65" s="21" t="s">
        <v>30</v>
      </c>
      <c r="B65" s="17">
        <f t="shared" si="7"/>
        <v>7959</v>
      </c>
      <c r="C65" s="15">
        <f t="shared" si="7"/>
        <v>10138</v>
      </c>
      <c r="D65" s="17">
        <f t="shared" si="8"/>
        <v>12550</v>
      </c>
      <c r="E65" s="15">
        <f t="shared" si="8"/>
        <v>2647</v>
      </c>
      <c r="F65" s="17">
        <f>+F41+F23+0</f>
        <v>11815</v>
      </c>
      <c r="G65" s="15">
        <f t="shared" si="4"/>
        <v>271</v>
      </c>
      <c r="H65" s="17">
        <f t="shared" si="4"/>
        <v>1263</v>
      </c>
      <c r="I65" s="16">
        <f t="shared" si="5"/>
        <v>46643</v>
      </c>
    </row>
    <row r="66" spans="1:9" ht="16.5" customHeight="1">
      <c r="A66" s="21" t="s">
        <v>31</v>
      </c>
      <c r="B66" s="17">
        <f t="shared" si="7"/>
        <v>27520</v>
      </c>
      <c r="C66" s="15">
        <f t="shared" si="7"/>
        <v>35811</v>
      </c>
      <c r="D66" s="17">
        <f t="shared" si="8"/>
        <v>21275</v>
      </c>
      <c r="E66" s="15">
        <f t="shared" si="8"/>
        <v>2965</v>
      </c>
      <c r="F66" s="17">
        <f>+F42+F24</f>
        <v>9024</v>
      </c>
      <c r="G66" s="15">
        <f t="shared" si="4"/>
        <v>1047</v>
      </c>
      <c r="H66" s="17">
        <f t="shared" si="4"/>
        <v>45697</v>
      </c>
      <c r="I66" s="16">
        <f t="shared" si="5"/>
        <v>143339</v>
      </c>
    </row>
    <row r="67" spans="1:9" ht="16.5" customHeight="1">
      <c r="A67" s="37" t="s">
        <v>32</v>
      </c>
      <c r="B67" s="48">
        <f aca="true" t="shared" si="9" ref="B67:H67">SUM(B54:B66)</f>
        <v>1975109</v>
      </c>
      <c r="C67" s="48">
        <f t="shared" si="9"/>
        <v>3255400</v>
      </c>
      <c r="D67" s="48">
        <f t="shared" si="9"/>
        <v>2134917</v>
      </c>
      <c r="E67" s="48">
        <f t="shared" si="9"/>
        <v>296254</v>
      </c>
      <c r="F67" s="48">
        <f t="shared" si="9"/>
        <v>762459</v>
      </c>
      <c r="G67" s="48">
        <f t="shared" si="9"/>
        <v>37932</v>
      </c>
      <c r="H67" s="48">
        <f t="shared" si="9"/>
        <v>113127</v>
      </c>
      <c r="I67" s="65">
        <f t="shared" si="5"/>
        <v>8575198</v>
      </c>
    </row>
    <row r="68" spans="1:9" ht="16.5" customHeight="1">
      <c r="A68" s="43"/>
      <c r="B68" s="49"/>
      <c r="C68" s="49"/>
      <c r="D68" s="49"/>
      <c r="E68" s="49"/>
      <c r="F68" s="49"/>
      <c r="G68" s="49"/>
      <c r="H68" s="49"/>
      <c r="I68" s="71"/>
    </row>
    <row r="69" spans="1:9" ht="16.5" customHeight="1">
      <c r="A69" s="28" t="s">
        <v>36</v>
      </c>
      <c r="B69" s="29"/>
      <c r="C69" s="29"/>
      <c r="D69" s="29"/>
      <c r="E69" s="29"/>
      <c r="F69" s="29"/>
      <c r="G69" s="29"/>
      <c r="H69" s="29"/>
      <c r="I69" s="30"/>
    </row>
    <row r="70" spans="1:9" ht="11.25" customHeight="1">
      <c r="A70" s="31"/>
      <c r="B70" s="32"/>
      <c r="C70" s="32"/>
      <c r="D70" s="32"/>
      <c r="E70" s="32"/>
      <c r="F70" s="32"/>
      <c r="G70" s="32"/>
      <c r="H70" s="32"/>
      <c r="I70" s="33"/>
    </row>
    <row r="71" spans="1:9" ht="7.5" customHeight="1">
      <c r="A71" s="34"/>
      <c r="B71" s="35"/>
      <c r="C71" s="35"/>
      <c r="D71" s="35"/>
      <c r="E71" s="35"/>
      <c r="F71" s="35"/>
      <c r="G71" s="35"/>
      <c r="H71" s="35"/>
      <c r="I71" s="36"/>
    </row>
    <row r="72" spans="1:9" ht="12.75">
      <c r="A72" s="21" t="s">
        <v>19</v>
      </c>
      <c r="B72" s="22">
        <v>88.69</v>
      </c>
      <c r="C72" s="23">
        <v>91.29</v>
      </c>
      <c r="D72" s="22">
        <v>91.39</v>
      </c>
      <c r="E72" s="23">
        <v>90.8</v>
      </c>
      <c r="F72" s="22">
        <v>88.87</v>
      </c>
      <c r="G72" s="23">
        <v>81.74</v>
      </c>
      <c r="H72" s="22">
        <v>52.73</v>
      </c>
      <c r="I72" s="24">
        <v>89.93</v>
      </c>
    </row>
    <row r="73" spans="1:9" ht="12.75">
      <c r="A73" s="21" t="s">
        <v>20</v>
      </c>
      <c r="B73" s="22">
        <v>3.55</v>
      </c>
      <c r="C73" s="23">
        <v>3.97</v>
      </c>
      <c r="D73" s="22">
        <v>3.87</v>
      </c>
      <c r="E73" s="23">
        <v>3.89</v>
      </c>
      <c r="F73" s="22">
        <v>3.91</v>
      </c>
      <c r="G73" s="23">
        <v>1.54</v>
      </c>
      <c r="H73" s="22">
        <v>0.93</v>
      </c>
      <c r="I73" s="24">
        <v>3.79</v>
      </c>
    </row>
    <row r="74" spans="1:9" ht="12.75">
      <c r="A74" s="21" t="s">
        <v>21</v>
      </c>
      <c r="B74" s="22">
        <v>0.09</v>
      </c>
      <c r="C74" s="23">
        <v>0.11</v>
      </c>
      <c r="D74" s="22">
        <v>0.12</v>
      </c>
      <c r="E74" s="23">
        <v>0.13</v>
      </c>
      <c r="F74" s="22">
        <v>0.15</v>
      </c>
      <c r="G74" s="23">
        <v>0.08</v>
      </c>
      <c r="H74" s="22">
        <v>0.04</v>
      </c>
      <c r="I74" s="24">
        <v>0.11</v>
      </c>
    </row>
    <row r="75" spans="1:9" ht="16.5" customHeight="1">
      <c r="A75" s="21" t="s">
        <v>22</v>
      </c>
      <c r="B75" s="22">
        <v>3.38</v>
      </c>
      <c r="C75" s="23">
        <v>1.79</v>
      </c>
      <c r="D75" s="22">
        <v>1.58</v>
      </c>
      <c r="E75" s="23">
        <v>1.51</v>
      </c>
      <c r="F75" s="22">
        <v>2.29</v>
      </c>
      <c r="G75" s="23">
        <v>8.6</v>
      </c>
      <c r="H75" s="22">
        <v>1.82</v>
      </c>
      <c r="I75" s="24">
        <v>2.17</v>
      </c>
    </row>
    <row r="76" spans="1:9" ht="16.5" customHeight="1">
      <c r="A76" s="21" t="s">
        <v>23</v>
      </c>
      <c r="B76" s="22">
        <v>0.71</v>
      </c>
      <c r="C76" s="23">
        <v>0.52</v>
      </c>
      <c r="D76" s="22">
        <v>0.51</v>
      </c>
      <c r="E76" s="23">
        <v>0.5</v>
      </c>
      <c r="F76" s="22">
        <v>0.59</v>
      </c>
      <c r="G76" s="23">
        <v>0.68</v>
      </c>
      <c r="H76" s="22">
        <v>0.31</v>
      </c>
      <c r="I76" s="24">
        <v>0.56</v>
      </c>
    </row>
    <row r="77" spans="1:9" ht="16.5" customHeight="1">
      <c r="A77" s="21" t="s">
        <v>24</v>
      </c>
      <c r="B77" s="22">
        <v>0.71</v>
      </c>
      <c r="C77" s="23">
        <v>0.44</v>
      </c>
      <c r="D77" s="22">
        <v>0.24</v>
      </c>
      <c r="E77" s="23">
        <v>0.34</v>
      </c>
      <c r="F77" s="22">
        <v>0.28</v>
      </c>
      <c r="G77" s="23">
        <v>0.74</v>
      </c>
      <c r="H77" s="22">
        <v>0.35</v>
      </c>
      <c r="I77" s="24">
        <v>0.44</v>
      </c>
    </row>
    <row r="78" spans="1:9" ht="16.5" customHeight="1">
      <c r="A78" s="21" t="s">
        <v>25</v>
      </c>
      <c r="B78" s="22">
        <v>0.27</v>
      </c>
      <c r="C78" s="23">
        <v>0.04</v>
      </c>
      <c r="D78" s="22">
        <v>0.02</v>
      </c>
      <c r="E78" s="23">
        <v>0.02</v>
      </c>
      <c r="F78" s="22">
        <v>0.02</v>
      </c>
      <c r="G78" s="23">
        <v>1.78</v>
      </c>
      <c r="H78" s="22">
        <v>0.18</v>
      </c>
      <c r="I78" s="24">
        <v>0.1</v>
      </c>
    </row>
    <row r="79" spans="1:9" ht="16.5" customHeight="1">
      <c r="A79" s="21" t="s">
        <v>26</v>
      </c>
      <c r="B79" s="22">
        <v>0.3</v>
      </c>
      <c r="C79" s="23">
        <v>0.14</v>
      </c>
      <c r="D79" s="22">
        <v>0.09</v>
      </c>
      <c r="E79" s="23">
        <v>0.1</v>
      </c>
      <c r="F79" s="22">
        <v>0.15</v>
      </c>
      <c r="G79" s="23">
        <v>0.67</v>
      </c>
      <c r="H79" s="22">
        <v>0.12</v>
      </c>
      <c r="I79" s="24">
        <v>0.17</v>
      </c>
    </row>
    <row r="80" spans="1:9" ht="16.5" customHeight="1">
      <c r="A80" s="21" t="s">
        <v>27</v>
      </c>
      <c r="B80" s="22">
        <v>0.2</v>
      </c>
      <c r="C80" s="23">
        <v>0.17</v>
      </c>
      <c r="D80" s="22">
        <v>0.28</v>
      </c>
      <c r="E80" s="23">
        <v>0.36</v>
      </c>
      <c r="F80" s="22">
        <v>0.32</v>
      </c>
      <c r="G80" s="23">
        <v>0.33</v>
      </c>
      <c r="H80" s="22">
        <v>0.76</v>
      </c>
      <c r="I80" s="24">
        <v>0.23</v>
      </c>
    </row>
    <row r="81" spans="1:9" ht="16.5" customHeight="1">
      <c r="A81" s="21" t="s">
        <v>28</v>
      </c>
      <c r="B81" s="22">
        <v>0.07</v>
      </c>
      <c r="C81" s="23">
        <v>0.03</v>
      </c>
      <c r="D81" s="22">
        <v>0.13</v>
      </c>
      <c r="E81" s="23">
        <v>0.3</v>
      </c>
      <c r="F81" s="22">
        <v>0.57</v>
      </c>
      <c r="G81" s="23">
        <v>0.11</v>
      </c>
      <c r="H81" s="22">
        <v>0.32</v>
      </c>
      <c r="I81" s="24">
        <v>0.12</v>
      </c>
    </row>
    <row r="82" spans="1:9" ht="16.5" customHeight="1">
      <c r="A82" s="21" t="s">
        <v>29</v>
      </c>
      <c r="B82" s="22">
        <v>0.23</v>
      </c>
      <c r="C82" s="23">
        <v>0.09</v>
      </c>
      <c r="D82" s="22">
        <v>0.19</v>
      </c>
      <c r="E82" s="23">
        <v>0.16</v>
      </c>
      <c r="F82" s="22">
        <v>0.12</v>
      </c>
      <c r="G82" s="23">
        <v>0.26</v>
      </c>
      <c r="H82" s="22">
        <v>0.93</v>
      </c>
      <c r="I82" s="24">
        <v>0.17</v>
      </c>
    </row>
    <row r="83" spans="1:9" ht="16.5" customHeight="1">
      <c r="A83" s="21" t="s">
        <v>30</v>
      </c>
      <c r="B83" s="22">
        <v>0.41</v>
      </c>
      <c r="C83" s="23">
        <v>0.31</v>
      </c>
      <c r="D83" s="22">
        <v>0.59</v>
      </c>
      <c r="E83" s="23">
        <v>0.89</v>
      </c>
      <c r="F83" s="22">
        <v>1.55</v>
      </c>
      <c r="G83" s="23">
        <v>0.71</v>
      </c>
      <c r="H83" s="22">
        <v>1.12</v>
      </c>
      <c r="I83" s="24">
        <v>0.54</v>
      </c>
    </row>
    <row r="84" spans="1:9" ht="16.5" customHeight="1">
      <c r="A84" s="21" t="s">
        <v>31</v>
      </c>
      <c r="B84" s="22">
        <v>1.39</v>
      </c>
      <c r="C84" s="23">
        <v>1.1</v>
      </c>
      <c r="D84" s="22">
        <v>0.99</v>
      </c>
      <c r="E84" s="23">
        <v>1</v>
      </c>
      <c r="F84" s="22">
        <v>1.18</v>
      </c>
      <c r="G84" s="23">
        <v>2.76</v>
      </c>
      <c r="H84" s="22">
        <v>40.39</v>
      </c>
      <c r="I84" s="24">
        <v>1.67</v>
      </c>
    </row>
    <row r="85" spans="1:9" ht="16.5" customHeight="1">
      <c r="A85" s="37" t="s">
        <v>32</v>
      </c>
      <c r="B85" s="39">
        <f aca="true" t="shared" si="10" ref="B85:I85">SUM(B72:B84)</f>
        <v>99.99999999999997</v>
      </c>
      <c r="C85" s="39">
        <f t="shared" si="10"/>
        <v>100.00000000000001</v>
      </c>
      <c r="D85" s="39">
        <f t="shared" si="10"/>
        <v>100</v>
      </c>
      <c r="E85" s="39">
        <f t="shared" si="10"/>
        <v>99.99999999999999</v>
      </c>
      <c r="F85" s="39">
        <f t="shared" si="10"/>
        <v>100.00000000000001</v>
      </c>
      <c r="G85" s="39">
        <f t="shared" si="10"/>
        <v>100</v>
      </c>
      <c r="H85" s="39">
        <f t="shared" si="10"/>
        <v>100</v>
      </c>
      <c r="I85" s="41">
        <f t="shared" si="10"/>
        <v>100.00000000000003</v>
      </c>
    </row>
    <row r="86" spans="1:9" ht="16.5" customHeight="1" thickBot="1">
      <c r="A86" s="38"/>
      <c r="B86" s="40"/>
      <c r="C86" s="40"/>
      <c r="D86" s="40"/>
      <c r="E86" s="40"/>
      <c r="F86" s="40"/>
      <c r="G86" s="40"/>
      <c r="H86" s="40"/>
      <c r="I86" s="42"/>
    </row>
    <row r="87" ht="16.5" customHeight="1"/>
    <row r="88" ht="11.25" customHeight="1"/>
    <row r="89" ht="7.5" customHeight="1"/>
  </sheetData>
  <mergeCells count="54">
    <mergeCell ref="A51:I53"/>
    <mergeCell ref="I67:I68"/>
    <mergeCell ref="F25:F26"/>
    <mergeCell ref="G25:G26"/>
    <mergeCell ref="H25:H26"/>
    <mergeCell ref="I25:I26"/>
    <mergeCell ref="G48:G50"/>
    <mergeCell ref="H48:H50"/>
    <mergeCell ref="A27:I29"/>
    <mergeCell ref="G43:G44"/>
    <mergeCell ref="H43:H44"/>
    <mergeCell ref="I43:I44"/>
    <mergeCell ref="A43:A44"/>
    <mergeCell ref="B43:B44"/>
    <mergeCell ref="C43:C44"/>
    <mergeCell ref="D43:D44"/>
    <mergeCell ref="E43:E44"/>
    <mergeCell ref="F43:F44"/>
    <mergeCell ref="B5:H5"/>
    <mergeCell ref="A25:A26"/>
    <mergeCell ref="A5:A8"/>
    <mergeCell ref="A9:I11"/>
    <mergeCell ref="B25:B26"/>
    <mergeCell ref="C25:C26"/>
    <mergeCell ref="D25:D26"/>
    <mergeCell ref="E25:E26"/>
    <mergeCell ref="G6:G8"/>
    <mergeCell ref="H6:H8"/>
    <mergeCell ref="A67:A68"/>
    <mergeCell ref="A47:A50"/>
    <mergeCell ref="B47:H47"/>
    <mergeCell ref="F67:F68"/>
    <mergeCell ref="G67:G68"/>
    <mergeCell ref="H67:H68"/>
    <mergeCell ref="B67:B68"/>
    <mergeCell ref="C67:C68"/>
    <mergeCell ref="D67:D68"/>
    <mergeCell ref="E67:E68"/>
    <mergeCell ref="A69:I71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B6:B8"/>
    <mergeCell ref="C6:C8"/>
    <mergeCell ref="F6:F8"/>
    <mergeCell ref="B48:B50"/>
    <mergeCell ref="C48:C50"/>
    <mergeCell ref="F48:F50"/>
  </mergeCells>
  <printOptions/>
  <pageMargins left="0.984251968503937" right="0.984251968503937" top="1.3779527559055118" bottom="1.3779527559055118" header="1.1811023622047245" footer="0.7874015748031497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brdicko</cp:lastModifiedBy>
  <dcterms:created xsi:type="dcterms:W3CDTF">2003-12-03T13:09:28Z</dcterms:created>
  <dcterms:modified xsi:type="dcterms:W3CDTF">2003-12-08T06:44:42Z</dcterms:modified>
  <cp:category/>
  <cp:version/>
  <cp:contentType/>
  <cp:contentStatus/>
</cp:coreProperties>
</file>